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buhle\Desktop\REGISTER\"/>
    </mc:Choice>
  </mc:AlternateContent>
  <bookViews>
    <workbookView xWindow="-120" yWindow="-120" windowWidth="20730" windowHeight="11310" activeTab="1"/>
  </bookViews>
  <sheets>
    <sheet name="Capital" sheetId="1" r:id="rId1"/>
    <sheet name="Operationa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2" l="1"/>
  <c r="M8" i="2"/>
  <c r="AA23" i="1"/>
  <c r="T23" i="1"/>
  <c r="S23" i="1"/>
  <c r="R23" i="1"/>
  <c r="AC23" i="1"/>
  <c r="AC4" i="1" l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3" i="1"/>
  <c r="AC2" i="1"/>
  <c r="Y3" i="1"/>
  <c r="Y4" i="1"/>
  <c r="Y5" i="1"/>
  <c r="Y6" i="1"/>
  <c r="Y7" i="1"/>
  <c r="Y8" i="1"/>
  <c r="Y9" i="1"/>
  <c r="AA9" i="1" s="1"/>
  <c r="Y10" i="1"/>
  <c r="AA10" i="1" s="1"/>
  <c r="Y11" i="1"/>
  <c r="Y12" i="1"/>
  <c r="Y13" i="1"/>
  <c r="Y14" i="1"/>
  <c r="Y15" i="1"/>
  <c r="Y16" i="1"/>
  <c r="Y17" i="1"/>
  <c r="AA17" i="1" s="1"/>
  <c r="Y18" i="1"/>
  <c r="AA18" i="1" s="1"/>
  <c r="Y19" i="1"/>
  <c r="Y20" i="1"/>
  <c r="Y21" i="1"/>
  <c r="Y22" i="1"/>
  <c r="AA22" i="1" s="1"/>
  <c r="Y23" i="1"/>
  <c r="AA12" i="1"/>
  <c r="AA14" i="1"/>
  <c r="AA16" i="1"/>
  <c r="Y2" i="1"/>
  <c r="AA11" i="1"/>
  <c r="AA13" i="1"/>
  <c r="AA15" i="1"/>
  <c r="AA4" i="1"/>
  <c r="AA5" i="1"/>
  <c r="AA6" i="1"/>
  <c r="AA7" i="1"/>
  <c r="AA3" i="1"/>
  <c r="M22" i="2" l="1"/>
  <c r="L16" i="2"/>
  <c r="M16" i="2" s="1"/>
  <c r="L13" i="2"/>
  <c r="M13" i="2" s="1"/>
  <c r="L5" i="2"/>
  <c r="X19" i="1" l="1"/>
  <c r="AB19" i="1"/>
  <c r="S19" i="1"/>
  <c r="T19" i="1" s="1"/>
  <c r="R19" i="1"/>
  <c r="O19" i="1"/>
  <c r="M11" i="2"/>
  <c r="M12" i="2"/>
  <c r="J2" i="2"/>
  <c r="M2" i="2" s="1"/>
  <c r="M3" i="2"/>
  <c r="K25" i="2"/>
  <c r="J10" i="2"/>
  <c r="M10" i="2" s="1"/>
  <c r="I7" i="2"/>
  <c r="J7" i="2" s="1"/>
  <c r="M7" i="2" s="1"/>
  <c r="J5" i="2"/>
  <c r="M4" i="2"/>
  <c r="S22" i="1" l="1"/>
  <c r="R22" i="1"/>
  <c r="Q24" i="1"/>
  <c r="P24" i="1"/>
  <c r="N24" i="1"/>
  <c r="M24" i="1"/>
  <c r="X23" i="1"/>
  <c r="O23" i="1"/>
  <c r="W22" i="1"/>
  <c r="X22" i="1" s="1"/>
  <c r="O22" i="1"/>
  <c r="X18" i="1"/>
  <c r="S18" i="1"/>
  <c r="R18" i="1"/>
  <c r="T18" i="1" s="1"/>
  <c r="AB18" i="1" s="1"/>
  <c r="O18" i="1"/>
  <c r="X17" i="1"/>
  <c r="S17" i="1"/>
  <c r="T17" i="1" s="1"/>
  <c r="R17" i="1"/>
  <c r="O17" i="1"/>
  <c r="X16" i="1"/>
  <c r="S16" i="1"/>
  <c r="R16" i="1"/>
  <c r="O16" i="1"/>
  <c r="V15" i="1"/>
  <c r="X15" i="1" s="1"/>
  <c r="S15" i="1"/>
  <c r="R15" i="1"/>
  <c r="O15" i="1"/>
  <c r="X14" i="1"/>
  <c r="S14" i="1"/>
  <c r="T14" i="1" s="1"/>
  <c r="R14" i="1"/>
  <c r="O14" i="1"/>
  <c r="X13" i="1"/>
  <c r="S13" i="1"/>
  <c r="R13" i="1"/>
  <c r="T13" i="1" s="1"/>
  <c r="AB13" i="1" s="1"/>
  <c r="O13" i="1"/>
  <c r="X12" i="1"/>
  <c r="S12" i="1"/>
  <c r="R12" i="1"/>
  <c r="O12" i="1"/>
  <c r="X11" i="1"/>
  <c r="V11" i="1"/>
  <c r="S11" i="1"/>
  <c r="R11" i="1"/>
  <c r="O11" i="1"/>
  <c r="X10" i="1"/>
  <c r="T10" i="1"/>
  <c r="AB10" i="1" s="1"/>
  <c r="S10" i="1"/>
  <c r="R10" i="1"/>
  <c r="O10" i="1"/>
  <c r="X9" i="1"/>
  <c r="S9" i="1"/>
  <c r="R9" i="1"/>
  <c r="O9" i="1"/>
  <c r="R8" i="1"/>
  <c r="T8" i="1" s="1"/>
  <c r="X7" i="1"/>
  <c r="S7" i="1"/>
  <c r="R7" i="1"/>
  <c r="O7" i="1"/>
  <c r="X6" i="1"/>
  <c r="S6" i="1"/>
  <c r="T6" i="1" s="1"/>
  <c r="AB6" i="1" s="1"/>
  <c r="R6" i="1"/>
  <c r="O6" i="1"/>
  <c r="V5" i="1"/>
  <c r="X5" i="1" s="1"/>
  <c r="S5" i="1"/>
  <c r="R5" i="1"/>
  <c r="T5" i="1" s="1"/>
  <c r="O5" i="1"/>
  <c r="X4" i="1"/>
  <c r="S4" i="1"/>
  <c r="R4" i="1"/>
  <c r="O4" i="1"/>
  <c r="X3" i="1"/>
  <c r="S3" i="1"/>
  <c r="R3" i="1"/>
  <c r="O3" i="1"/>
  <c r="Z2" i="1"/>
  <c r="Z24" i="1" s="1"/>
  <c r="X2" i="1"/>
  <c r="S2" i="1"/>
  <c r="R2" i="1"/>
  <c r="O2" i="1"/>
  <c r="T2" i="1" l="1"/>
  <c r="W24" i="1"/>
  <c r="L25" i="2"/>
  <c r="M25" i="2"/>
  <c r="J25" i="2"/>
  <c r="T3" i="1"/>
  <c r="T4" i="1"/>
  <c r="AB4" i="1" s="1"/>
  <c r="T7" i="1"/>
  <c r="T9" i="1"/>
  <c r="AB9" i="1" s="1"/>
  <c r="T16" i="1"/>
  <c r="AB16" i="1" s="1"/>
  <c r="AB14" i="1"/>
  <c r="T15" i="1"/>
  <c r="AB15" i="1" s="1"/>
  <c r="S24" i="1"/>
  <c r="AB5" i="1"/>
  <c r="AB7" i="1"/>
  <c r="X24" i="1"/>
  <c r="T11" i="1"/>
  <c r="AB11" i="1" s="1"/>
  <c r="AB23" i="1"/>
  <c r="O24" i="1"/>
  <c r="AB3" i="1"/>
  <c r="T12" i="1"/>
  <c r="AB12" i="1" s="1"/>
  <c r="AB17" i="1"/>
  <c r="T22" i="1"/>
  <c r="AB22" i="1" s="1"/>
  <c r="AB2" i="1"/>
  <c r="V24" i="1"/>
  <c r="R24" i="1"/>
  <c r="Y24" i="1" s="1"/>
  <c r="AA2" i="1"/>
  <c r="T24" i="1" l="1"/>
  <c r="AB24" i="1"/>
  <c r="AC24" i="1"/>
  <c r="AA24" i="1"/>
</calcChain>
</file>

<file path=xl/comments1.xml><?xml version="1.0" encoding="utf-8"?>
<comments xmlns="http://schemas.openxmlformats.org/spreadsheetml/2006/main">
  <authors>
    <author>Nemo</author>
  </authors>
  <commentList>
    <comment ref="Y3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Max retention 10 % reached. No vat on contractor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Max retention 10 % reached. No vat on contractor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Max ret R284 733.49
No vat 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 
max ret = 722 982.70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
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incl Vat 15%
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Max ret = R791 188.45
incl Vat 15%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Max retention R237 160.50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Nemo:</t>
        </r>
        <r>
          <rPr>
            <sz val="9"/>
            <color indexed="81"/>
            <rFont val="Tahoma"/>
            <family val="2"/>
          </rPr>
          <t xml:space="preserve">
Appointed on risk basis therefore no amount on award letter
</t>
        </r>
      </text>
    </comment>
  </commentList>
</comments>
</file>

<file path=xl/sharedStrings.xml><?xml version="1.0" encoding="utf-8"?>
<sst xmlns="http://schemas.openxmlformats.org/spreadsheetml/2006/main" count="308" uniqueCount="188">
  <si>
    <t>No</t>
  </si>
  <si>
    <t>MIG No:</t>
  </si>
  <si>
    <t>Municipality</t>
  </si>
  <si>
    <t>PROJECT NAME</t>
  </si>
  <si>
    <t>Contractor</t>
  </si>
  <si>
    <t>Consultants</t>
  </si>
  <si>
    <t>% award Engineer</t>
  </si>
  <si>
    <t>Start Date</t>
  </si>
  <si>
    <t>End Date</t>
  </si>
  <si>
    <t>Progress Status</t>
  </si>
  <si>
    <t>Date of Practical completion</t>
  </si>
  <si>
    <t>Date of Final Completion</t>
  </si>
  <si>
    <t>Contractor amount (R)</t>
  </si>
  <si>
    <t>Consultant fee (R)</t>
  </si>
  <si>
    <t>Total Project Amount</t>
  </si>
  <si>
    <t>Variation order "R
Contractor</t>
  </si>
  <si>
    <t>Variation order "R
Consultant</t>
  </si>
  <si>
    <t>Revised Amount - Contractor</t>
  </si>
  <si>
    <t>Revised Amount-Consultant</t>
  </si>
  <si>
    <t>Revised Project Amount</t>
  </si>
  <si>
    <t xml:space="preserve">Consultant expenditure </t>
  </si>
  <si>
    <t xml:space="preserve">Contractor Expenditure </t>
  </si>
  <si>
    <t>TOTAL EXPENDITURE</t>
  </si>
  <si>
    <t>Total Retention Held</t>
  </si>
  <si>
    <t>Retention paid</t>
  </si>
  <si>
    <t>Retention Outstanding</t>
  </si>
  <si>
    <t>Balance of contract</t>
  </si>
  <si>
    <t>Commitment
2018-19</t>
  </si>
  <si>
    <t>2016MIGFK236240855</t>
  </si>
  <si>
    <t>Imbabazane</t>
  </si>
  <si>
    <t>Thwathwa link Road</t>
  </si>
  <si>
    <t>Ziyamasha Trading &amp; Contractors</t>
  </si>
  <si>
    <t>TL Engineering Consulting</t>
  </si>
  <si>
    <t>07/12/2017</t>
  </si>
  <si>
    <t>07/09/2018</t>
  </si>
  <si>
    <t>Practical Completion</t>
  </si>
  <si>
    <t>06/03/2018</t>
  </si>
  <si>
    <t>28/09/2018</t>
  </si>
  <si>
    <t>2017MIGFK237218662</t>
  </si>
  <si>
    <t>Umtshezi</t>
  </si>
  <si>
    <t>Newlands/lochsloy Pedestrian bridge</t>
  </si>
  <si>
    <t>NDU Civils</t>
  </si>
  <si>
    <t>31/05/2019</t>
  </si>
  <si>
    <t>2017MIGFK237263351</t>
  </si>
  <si>
    <t>Haviland Creche</t>
  </si>
  <si>
    <t>Intsabula Trading Enterprise</t>
  </si>
  <si>
    <t>Leja And Associates</t>
  </si>
  <si>
    <t>04/12/2017</t>
  </si>
  <si>
    <t>07/04/2018</t>
  </si>
  <si>
    <t>14/09/2018</t>
  </si>
  <si>
    <t>2017MIGFK237263352</t>
  </si>
  <si>
    <t>Thembalihle Creche</t>
  </si>
  <si>
    <t>2017MIGFK237263354</t>
  </si>
  <si>
    <t>Msobotsheni hall/creche</t>
  </si>
  <si>
    <t>DlaminiNdlovu</t>
  </si>
  <si>
    <t>29/06/2018</t>
  </si>
  <si>
    <t>28/06/2019</t>
  </si>
  <si>
    <t>2017MIGFK237265037</t>
  </si>
  <si>
    <t>Dikwe/Slimangamehlo Pedestrian Bridge</t>
  </si>
  <si>
    <t>Khindlinuka Plumbing and Civil Work</t>
  </si>
  <si>
    <t>17/01/2019</t>
  </si>
  <si>
    <t>xx</t>
  </si>
  <si>
    <t>2017MIGFK237270648</t>
  </si>
  <si>
    <t>ILM</t>
  </si>
  <si>
    <t>Intshana/Moyeni Gravel Road</t>
  </si>
  <si>
    <t>Sele and Musa Trading &amp; Tours</t>
  </si>
  <si>
    <t>Simphulwazi Engineers</t>
  </si>
  <si>
    <t>01/03/2018</t>
  </si>
  <si>
    <t>31/05/2018</t>
  </si>
  <si>
    <t>Construction phase</t>
  </si>
  <si>
    <t>2017MIGFK237270764</t>
  </si>
  <si>
    <t>C-Section Black Top</t>
  </si>
  <si>
    <t>Sinothando Construction cc</t>
  </si>
  <si>
    <t>14/02/2018</t>
  </si>
  <si>
    <t>2017MIGFK237270765</t>
  </si>
  <si>
    <t>Ezimfeneni Community Hall &amp; Creche Facility</t>
  </si>
  <si>
    <t>Mchilobuvu Civils Construction</t>
  </si>
  <si>
    <t>Mgamule Consulting Engineers</t>
  </si>
  <si>
    <t>11/12/2017</t>
  </si>
  <si>
    <t>11/06/2018</t>
  </si>
  <si>
    <t>17/08/2018</t>
  </si>
  <si>
    <t>2017MIGFK237270769</t>
  </si>
  <si>
    <t xml:space="preserve">Jennings Road Black Top </t>
  </si>
  <si>
    <t>R and D Contractors</t>
  </si>
  <si>
    <t>Gendu Consulting</t>
  </si>
  <si>
    <t>12/12/2017</t>
  </si>
  <si>
    <t>13/07/2018</t>
  </si>
  <si>
    <t>High Mast Lighting in Weenen &amp; Ezitendeni (Ward 20 &amp; 21)</t>
  </si>
  <si>
    <t>Gemini Garden Trading 400</t>
  </si>
  <si>
    <t xml:space="preserve">Baithusi Consulting </t>
  </si>
  <si>
    <t>14/12/2018</t>
  </si>
  <si>
    <t>14/12/2019</t>
  </si>
  <si>
    <t>07/06/2019</t>
  </si>
  <si>
    <t>2017MIGFK237270772</t>
  </si>
  <si>
    <t>Mshayazafe black Top</t>
  </si>
  <si>
    <t>Baithusi Trading 117</t>
  </si>
  <si>
    <t>25/01/2018</t>
  </si>
  <si>
    <t>25/07/2018</t>
  </si>
  <si>
    <t>2017MIGFK237270784</t>
  </si>
  <si>
    <t>Upgrading of Weenen Rank Market Stalls</t>
  </si>
  <si>
    <t>XJR Construction</t>
  </si>
  <si>
    <t>Awa Consulting</t>
  </si>
  <si>
    <t>12/11/2017</t>
  </si>
  <si>
    <t>30/05/2018</t>
  </si>
  <si>
    <t>20/07/2018</t>
  </si>
  <si>
    <t>Siphokuhle Gravel Roads and Access Roads in Ward 16</t>
  </si>
  <si>
    <t>Yintwenhle Consulting</t>
  </si>
  <si>
    <t>Insonge Gravel Road in Ward 11</t>
  </si>
  <si>
    <t xml:space="preserve">Skova Construction JV Mageja Construction </t>
  </si>
  <si>
    <t>Colita Pedestrian Bridge</t>
  </si>
  <si>
    <t>Silo Construction SA</t>
  </si>
  <si>
    <t>NA</t>
  </si>
  <si>
    <t>Esigodlweni Electrification Project Phase 3</t>
  </si>
  <si>
    <t>Ezweni Electrification &amp; Trading Services</t>
  </si>
  <si>
    <t>Khanyisa Africa</t>
  </si>
  <si>
    <t>08/05/2015</t>
  </si>
  <si>
    <t>24/07/2015</t>
  </si>
  <si>
    <t>Electrical Engineer To Undertake Design And Oversee Construction Of A New Switching 11Kv Substation</t>
  </si>
  <si>
    <t>Imbawula Technical Services Pty Ltd</t>
  </si>
  <si>
    <t>Theshani Enterprise cc</t>
  </si>
  <si>
    <t>08/05/2018</t>
  </si>
  <si>
    <t>22/11/2018</t>
  </si>
  <si>
    <t>TOTALS</t>
  </si>
  <si>
    <t>Type of commitment</t>
  </si>
  <si>
    <t>Supplier</t>
  </si>
  <si>
    <t>Contract information</t>
  </si>
  <si>
    <t>Amount per month</t>
  </si>
  <si>
    <t>Variation order (R)</t>
  </si>
  <si>
    <t>Operational</t>
  </si>
  <si>
    <t>Umtshezi - ILM</t>
  </si>
  <si>
    <t>Mills Fitchet</t>
  </si>
  <si>
    <t xml:space="preserve"> </t>
  </si>
  <si>
    <t>1 July 18 - 30 June 19</t>
  </si>
  <si>
    <t>Insurance</t>
  </si>
  <si>
    <t>Indwe Risk Services Pty Ltd</t>
  </si>
  <si>
    <t>Banking Service - cash collections</t>
  </si>
  <si>
    <t>G4S Cash Solution</t>
  </si>
  <si>
    <t>As per contract if not terminated, contract is renewed for a period of 1 year</t>
  </si>
  <si>
    <t xml:space="preserve">Security Services </t>
  </si>
  <si>
    <t>Khuselani Security &amp; Risk Management</t>
  </si>
  <si>
    <t>Maintenance of IT equipment</t>
  </si>
  <si>
    <t>First Technology</t>
  </si>
  <si>
    <t>Duxbury</t>
  </si>
  <si>
    <t>Munsoft</t>
  </si>
  <si>
    <t>AFS 2017-18</t>
  </si>
  <si>
    <t>Payroll System</t>
  </si>
  <si>
    <t>VIP</t>
  </si>
  <si>
    <t>Annual licence fee</t>
  </si>
  <si>
    <t>Fixed asset register</t>
  </si>
  <si>
    <t>Quartex &amp; Dynamic Dash solutions</t>
  </si>
  <si>
    <t>TOTAL EXPENDITURE
2018-19</t>
  </si>
  <si>
    <t>Valuation Roll - Maintenance</t>
  </si>
  <si>
    <t>As per contract if negotiations are unsuccessful, contract will continue for a further 3 months and automatically terminate afterwards then client to return to ad-hoc client status.</t>
  </si>
  <si>
    <t>as and when needed</t>
  </si>
  <si>
    <t xml:space="preserve">Financial System </t>
  </si>
  <si>
    <t>Insurance extension</t>
  </si>
  <si>
    <t>Bonakude Consulting</t>
  </si>
  <si>
    <t>Bana Consulting</t>
  </si>
  <si>
    <t>Panel of Financial Management Specialists for the Provision of VAT Services</t>
  </si>
  <si>
    <t>Mntambo Financial Consulting</t>
  </si>
  <si>
    <t>Panel of Consultants for Asset Management for a Period of 3 Years</t>
  </si>
  <si>
    <t>Panel of Consultants for the Preparation of Financial Statements for a Period of 3 Years</t>
  </si>
  <si>
    <t>Panel of Financial Management Specialists for the Provision of Internal Audit Services for a Period of 3 Years</t>
  </si>
  <si>
    <t>Panel of Consultants for the Supply of Electrical Material for a Period of 3 Years</t>
  </si>
  <si>
    <t>Malasela Taihan Electric Cable</t>
  </si>
  <si>
    <t>Arb Electrical Wholesalers Pty Ltd</t>
  </si>
  <si>
    <t>Uptown Trading 475 cc</t>
  </si>
  <si>
    <t>Conlog Pty Ltd</t>
  </si>
  <si>
    <t>Sisandza Technology Services</t>
  </si>
  <si>
    <t>Consultant to Manage MIG Projects</t>
  </si>
  <si>
    <t>Ilungelo Lami</t>
  </si>
  <si>
    <t>Provision of Banking Services</t>
  </si>
  <si>
    <t>First National Bank</t>
  </si>
  <si>
    <t>Supply and Installation of a Park Home</t>
  </si>
  <si>
    <t>Building (Pty) Ltd</t>
  </si>
  <si>
    <t>In house</t>
  </si>
  <si>
    <t>Completed</t>
  </si>
  <si>
    <t>12/10/2018</t>
  </si>
  <si>
    <t>10/07/2018</t>
  </si>
  <si>
    <t>Contract have a session for the former Imbabazane Sites</t>
  </si>
  <si>
    <t>Expired</t>
  </si>
  <si>
    <t>Valid</t>
  </si>
  <si>
    <t>31/10/2018</t>
  </si>
  <si>
    <t>30/06/2019</t>
  </si>
  <si>
    <t>Hourly Rate</t>
  </si>
  <si>
    <t>17.5% of the total collection</t>
  </si>
  <si>
    <t>Munsoft - Monthly</t>
  </si>
  <si>
    <t>Munsoft -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</si>
</sst>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&quot;R&quot;\ #,##0.00"/>
    <numFmt numFmtId="166" formatCode="[$-409]dd/m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5" fillId="3" borderId="1" xfId="1" applyFont="1" applyFill="1" applyBorder="1" applyAlignment="1">
      <alignment horizontal="right"/>
    </xf>
    <xf numFmtId="164" fontId="3" fillId="3" borderId="1" xfId="1" applyFont="1" applyFill="1" applyBorder="1"/>
    <xf numFmtId="164" fontId="2" fillId="3" borderId="1" xfId="1" applyFont="1" applyFill="1" applyBorder="1" applyAlignment="1">
      <alignment horizontal="right"/>
    </xf>
    <xf numFmtId="164" fontId="5" fillId="3" borderId="1" xfId="1" applyFont="1" applyFill="1" applyBorder="1"/>
    <xf numFmtId="164" fontId="5" fillId="3" borderId="4" xfId="1" applyFont="1" applyFill="1" applyBorder="1" applyAlignment="1">
      <alignment horizontal="right"/>
    </xf>
    <xf numFmtId="164" fontId="3" fillId="3" borderId="4" xfId="1" applyFont="1" applyFill="1" applyBorder="1"/>
    <xf numFmtId="0" fontId="3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4" fontId="5" fillId="0" borderId="1" xfId="1" applyFont="1" applyBorder="1" applyAlignment="1">
      <alignment horizontal="right"/>
    </xf>
    <xf numFmtId="164" fontId="3" fillId="0" borderId="1" xfId="1" applyFont="1" applyBorder="1"/>
    <xf numFmtId="164" fontId="2" fillId="0" borderId="1" xfId="1" applyFont="1" applyBorder="1" applyAlignment="1">
      <alignment horizontal="right"/>
    </xf>
    <xf numFmtId="164" fontId="5" fillId="0" borderId="4" xfId="1" applyFont="1" applyBorder="1" applyAlignment="1">
      <alignment horizontal="right"/>
    </xf>
    <xf numFmtId="164" fontId="3" fillId="0" borderId="4" xfId="1" applyFont="1" applyBorder="1"/>
    <xf numFmtId="164" fontId="4" fillId="3" borderId="1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165" fontId="3" fillId="0" borderId="1" xfId="0" quotePrefix="1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8" fillId="0" borderId="1" xfId="1" applyFont="1" applyBorder="1"/>
    <xf numFmtId="164" fontId="8" fillId="3" borderId="1" xfId="1" applyFont="1" applyFill="1" applyBorder="1"/>
    <xf numFmtId="0" fontId="4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/>
    <xf numFmtId="166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/>
    <xf numFmtId="164" fontId="4" fillId="0" borderId="1" xfId="1" applyFont="1" applyBorder="1"/>
    <xf numFmtId="164" fontId="2" fillId="0" borderId="1" xfId="1" applyFont="1" applyBorder="1"/>
    <xf numFmtId="166" fontId="5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/>
    </xf>
    <xf numFmtId="164" fontId="12" fillId="0" borderId="1" xfId="1" applyFont="1" applyBorder="1"/>
    <xf numFmtId="164" fontId="0" fillId="0" borderId="0" xfId="0" applyNumberFormat="1"/>
    <xf numFmtId="164" fontId="2" fillId="0" borderId="1" xfId="1" applyFont="1" applyBorder="1" applyAlignment="1">
      <alignment wrapText="1"/>
    </xf>
    <xf numFmtId="0" fontId="0" fillId="0" borderId="1" xfId="0" applyBorder="1"/>
    <xf numFmtId="43" fontId="12" fillId="0" borderId="1" xfId="0" applyNumberFormat="1" applyFont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6" fillId="5" borderId="1" xfId="0" applyFont="1" applyFill="1" applyBorder="1" applyAlignment="1">
      <alignment horizontal="left" wrapText="1"/>
    </xf>
    <xf numFmtId="166" fontId="5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/>
    <xf numFmtId="164" fontId="4" fillId="5" borderId="1" xfId="1" applyFont="1" applyFill="1" applyBorder="1"/>
    <xf numFmtId="164" fontId="2" fillId="5" borderId="1" xfId="1" applyFont="1" applyFill="1" applyBorder="1"/>
    <xf numFmtId="164" fontId="2" fillId="5" borderId="1" xfId="1" applyFont="1" applyFill="1" applyBorder="1" applyAlignment="1">
      <alignment horizontal="right"/>
    </xf>
    <xf numFmtId="164" fontId="5" fillId="5" borderId="4" xfId="1" applyFont="1" applyFill="1" applyBorder="1" applyAlignment="1">
      <alignment horizontal="right"/>
    </xf>
    <xf numFmtId="0" fontId="0" fillId="5" borderId="0" xfId="0" applyFill="1"/>
    <xf numFmtId="166" fontId="5" fillId="5" borderId="1" xfId="0" applyNumberFormat="1" applyFont="1" applyFill="1" applyBorder="1" applyAlignment="1">
      <alignment horizontal="center" wrapText="1"/>
    </xf>
    <xf numFmtId="164" fontId="2" fillId="5" borderId="1" xfId="1" applyFont="1" applyFill="1" applyBorder="1" applyAlignment="1">
      <alignment wrapText="1"/>
    </xf>
    <xf numFmtId="164" fontId="3" fillId="5" borderId="1" xfId="1" applyFont="1" applyFill="1" applyBorder="1"/>
    <xf numFmtId="164" fontId="5" fillId="5" borderId="1" xfId="1" applyFont="1" applyFill="1" applyBorder="1" applyAlignment="1">
      <alignment horizontal="right"/>
    </xf>
    <xf numFmtId="164" fontId="3" fillId="5" borderId="4" xfId="1" applyFont="1" applyFill="1" applyBorder="1"/>
    <xf numFmtId="164" fontId="5" fillId="5" borderId="1" xfId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4" fontId="5" fillId="5" borderId="1" xfId="1" applyFont="1" applyFill="1" applyBorder="1"/>
    <xf numFmtId="0" fontId="6" fillId="5" borderId="3" xfId="0" applyFont="1" applyFill="1" applyBorder="1" applyAlignment="1">
      <alignment wrapText="1"/>
    </xf>
    <xf numFmtId="164" fontId="4" fillId="5" borderId="1" xfId="1" applyFont="1" applyFill="1" applyBorder="1" applyAlignment="1">
      <alignment horizontal="right"/>
    </xf>
    <xf numFmtId="0" fontId="6" fillId="5" borderId="3" xfId="0" applyFont="1" applyFill="1" applyBorder="1"/>
    <xf numFmtId="0" fontId="4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9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164" fontId="3" fillId="5" borderId="1" xfId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165" fontId="4" fillId="5" borderId="1" xfId="0" quotePrefix="1" applyNumberFormat="1" applyFont="1" applyFill="1" applyBorder="1" applyAlignment="1">
      <alignment horizontal="center"/>
    </xf>
    <xf numFmtId="164" fontId="4" fillId="5" borderId="1" xfId="1" applyFont="1" applyFill="1" applyBorder="1" applyAlignment="1">
      <alignment horizontal="right" vertic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ndi%20Cebekhulu/Desktop/Revised%20AG%20Contract%20Register%20%20Commitment%20%202018-19_AF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al 16-17 &amp; 17-18"/>
      <sheetName val="GL Rentention paid 17-18"/>
      <sheetName val="Capital 2017-18"/>
      <sheetName val="Capital 2018-19"/>
      <sheetName val="New Switching 11Kv Substation"/>
      <sheetName val="Esigodlweni Electrification"/>
      <sheetName val="Weenen Market Stalls Rank GL"/>
      <sheetName val="Weenen Market Stalls Rank"/>
      <sheetName val="Mshayazafe B"/>
      <sheetName val="Mshayazafe B GL"/>
      <sheetName val="Jennings Black Top GL"/>
      <sheetName val="Jennings Black Top"/>
      <sheetName val="Ezimfeneni Hall GL"/>
      <sheetName val="Ezimfeneni Hall"/>
      <sheetName val="Wembezi C-section GL"/>
      <sheetName val="Wembezi C-section"/>
      <sheetName val="Intshana-MoyeniGravel Road GL"/>
      <sheetName val="Intshana-MoyeniGravel Road"/>
      <sheetName val="Dikwe Ped. Bridge GL"/>
      <sheetName val="Dikwe Ped. Bridge"/>
      <sheetName val="Msobotsheni hall"/>
      <sheetName val="Msobotsheni hall GL"/>
      <sheetName val="Thembalihe Creche"/>
      <sheetName val="Thembalihle Creche GL"/>
      <sheetName val="Haviland Creche"/>
      <sheetName val="Haviland Creche GL"/>
      <sheetName val="Newlands Ped. Bridge"/>
      <sheetName val="Newlands Ped. Bridge GL"/>
      <sheetName val="Thwathwa-Mvundlweni Link Road"/>
      <sheetName val="MIG COGTA 16-17"/>
      <sheetName val="MIG COGTA Plan 17-18"/>
      <sheetName val="Thwathwa-Mvundlweni GL"/>
      <sheetName val="Capital 2016-17"/>
      <sheetName val="Madazane Hall"/>
      <sheetName val="Madazane Hall GL "/>
      <sheetName val="Mankonjana Rd"/>
      <sheetName val="Mankonjana Rd 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"/>
  <sheetViews>
    <sheetView topLeftCell="R1" workbookViewId="0">
      <pane ySplit="1" topLeftCell="A21" activePane="bottomLeft" state="frozen"/>
      <selection pane="bottomLeft" activeCell="V26" sqref="V26"/>
    </sheetView>
  </sheetViews>
  <sheetFormatPr defaultRowHeight="15" x14ac:dyDescent="0.25"/>
  <cols>
    <col min="2" max="2" width="20" customWidth="1"/>
    <col min="3" max="3" width="10.85546875" customWidth="1"/>
    <col min="4" max="4" width="14" customWidth="1"/>
    <col min="5" max="6" width="11.42578125" customWidth="1"/>
    <col min="8" max="8" width="10.5703125" bestFit="1" customWidth="1"/>
    <col min="10" max="10" width="17.85546875" customWidth="1"/>
    <col min="11" max="11" width="11" customWidth="1"/>
    <col min="12" max="12" width="10.42578125" customWidth="1"/>
    <col min="13" max="13" width="14.42578125" customWidth="1"/>
    <col min="14" max="14" width="14" bestFit="1" customWidth="1"/>
    <col min="15" max="15" width="15" bestFit="1" customWidth="1"/>
    <col min="16" max="16" width="12.85546875" customWidth="1"/>
    <col min="17" max="17" width="11.85546875" customWidth="1"/>
    <col min="18" max="18" width="14.28515625" customWidth="1"/>
    <col min="19" max="19" width="14.5703125" customWidth="1"/>
    <col min="20" max="20" width="15" bestFit="1" customWidth="1"/>
    <col min="22" max="22" width="15.28515625" customWidth="1"/>
    <col min="23" max="23" width="14.5703125" customWidth="1"/>
    <col min="24" max="24" width="16" customWidth="1"/>
    <col min="25" max="25" width="13.7109375" customWidth="1"/>
    <col min="26" max="26" width="11.5703125" customWidth="1"/>
    <col min="27" max="27" width="12.85546875" customWidth="1"/>
    <col min="28" max="29" width="13.7109375" customWidth="1"/>
  </cols>
  <sheetData>
    <row r="1" spans="1:29" ht="36" x14ac:dyDescent="0.25">
      <c r="A1" s="37" t="s">
        <v>0</v>
      </c>
      <c r="B1" s="37" t="s">
        <v>1</v>
      </c>
      <c r="C1" s="37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8" t="s">
        <v>14</v>
      </c>
      <c r="P1" s="39" t="s">
        <v>15</v>
      </c>
      <c r="Q1" s="39" t="s">
        <v>16</v>
      </c>
      <c r="R1" s="39" t="s">
        <v>17</v>
      </c>
      <c r="S1" s="39" t="s">
        <v>18</v>
      </c>
      <c r="T1" s="39" t="s">
        <v>19</v>
      </c>
      <c r="U1" s="1"/>
      <c r="V1" s="40" t="s">
        <v>20</v>
      </c>
      <c r="W1" s="40" t="s">
        <v>21</v>
      </c>
      <c r="X1" s="40" t="s">
        <v>22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</row>
    <row r="2" spans="1:29" ht="60.75" x14ac:dyDescent="0.25">
      <c r="A2" s="57">
        <v>1</v>
      </c>
      <c r="B2" s="82" t="s">
        <v>28</v>
      </c>
      <c r="C2" s="73" t="s">
        <v>29</v>
      </c>
      <c r="D2" s="83" t="s">
        <v>30</v>
      </c>
      <c r="E2" s="75" t="s">
        <v>31</v>
      </c>
      <c r="F2" s="84" t="s">
        <v>32</v>
      </c>
      <c r="G2" s="85">
        <v>0.12</v>
      </c>
      <c r="H2" s="76" t="s">
        <v>33</v>
      </c>
      <c r="I2" s="76" t="s">
        <v>34</v>
      </c>
      <c r="J2" s="86" t="s">
        <v>35</v>
      </c>
      <c r="K2" s="76" t="s">
        <v>36</v>
      </c>
      <c r="L2" s="76" t="s">
        <v>37</v>
      </c>
      <c r="M2" s="70">
        <v>4185988.62</v>
      </c>
      <c r="N2" s="78">
        <v>586038.37</v>
      </c>
      <c r="O2" s="69">
        <f t="shared" ref="O2:O7" si="0">M2+N2</f>
        <v>4772026.99</v>
      </c>
      <c r="P2" s="87">
        <v>188043.64</v>
      </c>
      <c r="Q2" s="87">
        <v>22565.24</v>
      </c>
      <c r="R2" s="70">
        <f>M2+P2</f>
        <v>4374032.26</v>
      </c>
      <c r="S2" s="78">
        <f>N2+Q2</f>
        <v>608603.61</v>
      </c>
      <c r="T2" s="78">
        <f>R2+S2</f>
        <v>4982635.87</v>
      </c>
      <c r="U2" s="14"/>
      <c r="V2" s="69">
        <v>599143.37</v>
      </c>
      <c r="W2" s="70">
        <v>4365458.2</v>
      </c>
      <c r="X2" s="65">
        <f t="shared" ref="X2:X7" si="1">V2+W2</f>
        <v>4964601.57</v>
      </c>
      <c r="Y2" s="65">
        <f>R2*10%</f>
        <v>437403.22600000002</v>
      </c>
      <c r="Z2" s="71">
        <f>190272.21*2</f>
        <v>380544.42</v>
      </c>
      <c r="AA2" s="71">
        <f t="shared" ref="AA2" si="2">Y2-Z2</f>
        <v>56858.806000000041</v>
      </c>
      <c r="AB2" s="71">
        <f>IF(T2&gt;0,T2-(X2+Y2),O2-(X2+Y2))</f>
        <v>-419368.92599999998</v>
      </c>
      <c r="AC2" s="69">
        <f>T2-X2</f>
        <v>18034.299999999814</v>
      </c>
    </row>
    <row r="3" spans="1:29" ht="60.75" x14ac:dyDescent="0.25">
      <c r="A3" s="57">
        <v>2</v>
      </c>
      <c r="B3" s="73" t="s">
        <v>38</v>
      </c>
      <c r="C3" s="73" t="s">
        <v>39</v>
      </c>
      <c r="D3" s="74" t="s">
        <v>40</v>
      </c>
      <c r="E3" s="75" t="s">
        <v>41</v>
      </c>
      <c r="F3" s="75" t="s">
        <v>32</v>
      </c>
      <c r="G3" s="75"/>
      <c r="H3" s="76" t="s">
        <v>33</v>
      </c>
      <c r="I3" s="76" t="s">
        <v>34</v>
      </c>
      <c r="J3" s="77" t="s">
        <v>35</v>
      </c>
      <c r="K3" s="77" t="s">
        <v>42</v>
      </c>
      <c r="L3" s="77"/>
      <c r="M3" s="70">
        <v>1416418.08</v>
      </c>
      <c r="N3" s="70">
        <v>169970.16</v>
      </c>
      <c r="O3" s="69">
        <f t="shared" si="0"/>
        <v>1586388.24</v>
      </c>
      <c r="P3" s="64">
        <v>0</v>
      </c>
      <c r="Q3" s="64">
        <v>0</v>
      </c>
      <c r="R3" s="70">
        <f t="shared" ref="R3:S10" si="3">M3+P3</f>
        <v>1416418.08</v>
      </c>
      <c r="S3" s="78">
        <f t="shared" si="3"/>
        <v>169970.16</v>
      </c>
      <c r="T3" s="78">
        <f t="shared" ref="T3:T10" si="4">R3+S3</f>
        <v>1586388.24</v>
      </c>
      <c r="U3" s="13"/>
      <c r="V3" s="70">
        <v>248947.07</v>
      </c>
      <c r="W3" s="70">
        <v>1228898.23</v>
      </c>
      <c r="X3" s="65">
        <f t="shared" si="1"/>
        <v>1477845.3</v>
      </c>
      <c r="Y3" s="65">
        <f t="shared" ref="Y3:Y23" si="5">R3*10%</f>
        <v>141641.80800000002</v>
      </c>
      <c r="Z3" s="71">
        <v>0</v>
      </c>
      <c r="AA3" s="71">
        <f>R3*10%</f>
        <v>141641.80800000002</v>
      </c>
      <c r="AB3" s="71">
        <f t="shared" ref="AB3:AB7" si="6">IF(T3&gt;0,T3-(X3+Y3),O3-(X3+Y3))</f>
        <v>-33098.868000000017</v>
      </c>
      <c r="AC3" s="69">
        <f>T3-X3</f>
        <v>108542.93999999994</v>
      </c>
    </row>
    <row r="4" spans="1:29" ht="36.75" x14ac:dyDescent="0.25">
      <c r="A4" s="57">
        <v>3</v>
      </c>
      <c r="B4" s="73" t="s">
        <v>43</v>
      </c>
      <c r="C4" s="73" t="s">
        <v>39</v>
      </c>
      <c r="D4" s="79" t="s">
        <v>44</v>
      </c>
      <c r="E4" s="75" t="s">
        <v>45</v>
      </c>
      <c r="F4" s="75" t="s">
        <v>46</v>
      </c>
      <c r="G4" s="75"/>
      <c r="H4" s="76" t="s">
        <v>47</v>
      </c>
      <c r="I4" s="76" t="s">
        <v>48</v>
      </c>
      <c r="J4" s="77" t="s">
        <v>35</v>
      </c>
      <c r="K4" s="77" t="s">
        <v>49</v>
      </c>
      <c r="L4" s="77"/>
      <c r="M4" s="70">
        <v>1062072</v>
      </c>
      <c r="N4" s="80">
        <v>148690.07999999999</v>
      </c>
      <c r="O4" s="69">
        <f t="shared" si="0"/>
        <v>1210762.08</v>
      </c>
      <c r="P4" s="64">
        <v>0</v>
      </c>
      <c r="Q4" s="64"/>
      <c r="R4" s="70">
        <f t="shared" si="3"/>
        <v>1062072</v>
      </c>
      <c r="S4" s="78">
        <f t="shared" si="3"/>
        <v>148690.07999999999</v>
      </c>
      <c r="T4" s="78">
        <f t="shared" si="4"/>
        <v>1210762.08</v>
      </c>
      <c r="U4" s="11"/>
      <c r="V4" s="70">
        <v>449158.54</v>
      </c>
      <c r="W4" s="72">
        <v>1007916.4</v>
      </c>
      <c r="X4" s="65">
        <f t="shared" si="1"/>
        <v>1457074.94</v>
      </c>
      <c r="Y4" s="65">
        <f t="shared" si="5"/>
        <v>106207.20000000001</v>
      </c>
      <c r="Z4" s="71"/>
      <c r="AA4" s="71">
        <f t="shared" ref="AA4:AA7" si="7">R4*10%</f>
        <v>106207.20000000001</v>
      </c>
      <c r="AB4" s="71">
        <f t="shared" si="6"/>
        <v>-352520.05999999982</v>
      </c>
      <c r="AC4" s="69">
        <f t="shared" ref="AC4:AC22" si="8">T4-X4</f>
        <v>-246312.85999999987</v>
      </c>
    </row>
    <row r="5" spans="1:29" ht="36.75" x14ac:dyDescent="0.25">
      <c r="A5" s="57">
        <v>4</v>
      </c>
      <c r="B5" s="73" t="s">
        <v>50</v>
      </c>
      <c r="C5" s="73" t="s">
        <v>39</v>
      </c>
      <c r="D5" s="81" t="s">
        <v>51</v>
      </c>
      <c r="E5" s="75" t="s">
        <v>45</v>
      </c>
      <c r="F5" s="75" t="s">
        <v>46</v>
      </c>
      <c r="G5" s="75"/>
      <c r="H5" s="76" t="s">
        <v>47</v>
      </c>
      <c r="I5" s="76" t="s">
        <v>48</v>
      </c>
      <c r="J5" s="77" t="s">
        <v>35</v>
      </c>
      <c r="K5" s="77" t="s">
        <v>49</v>
      </c>
      <c r="L5" s="77"/>
      <c r="M5" s="70">
        <v>1062072</v>
      </c>
      <c r="N5" s="80">
        <v>148690.07999999999</v>
      </c>
      <c r="O5" s="69">
        <f t="shared" si="0"/>
        <v>1210762.08</v>
      </c>
      <c r="P5" s="64">
        <v>0</v>
      </c>
      <c r="Q5" s="64"/>
      <c r="R5" s="70">
        <f t="shared" si="3"/>
        <v>1062072</v>
      </c>
      <c r="S5" s="78">
        <f t="shared" si="3"/>
        <v>148690.07999999999</v>
      </c>
      <c r="T5" s="78">
        <f t="shared" si="4"/>
        <v>1210762.08</v>
      </c>
      <c r="U5" s="13"/>
      <c r="V5" s="70">
        <f>89062.54+343702.98</f>
        <v>432765.51999999996</v>
      </c>
      <c r="W5" s="70">
        <v>1009166.4</v>
      </c>
      <c r="X5" s="65">
        <f t="shared" si="1"/>
        <v>1441931.92</v>
      </c>
      <c r="Y5" s="65">
        <f t="shared" si="5"/>
        <v>106207.20000000001</v>
      </c>
      <c r="Z5" s="71"/>
      <c r="AA5" s="71">
        <f t="shared" si="7"/>
        <v>106207.20000000001</v>
      </c>
      <c r="AB5" s="71">
        <f t="shared" si="6"/>
        <v>-337377.0399999998</v>
      </c>
      <c r="AC5" s="69">
        <f t="shared" si="8"/>
        <v>-231169.83999999985</v>
      </c>
    </row>
    <row r="6" spans="1:29" ht="48.75" x14ac:dyDescent="0.25">
      <c r="A6" s="57">
        <v>5</v>
      </c>
      <c r="B6" s="73" t="s">
        <v>52</v>
      </c>
      <c r="C6" s="73" t="s">
        <v>39</v>
      </c>
      <c r="D6" s="79" t="s">
        <v>53</v>
      </c>
      <c r="E6" s="75" t="s">
        <v>45</v>
      </c>
      <c r="F6" s="75" t="s">
        <v>54</v>
      </c>
      <c r="G6" s="75"/>
      <c r="H6" s="76" t="s">
        <v>47</v>
      </c>
      <c r="I6" s="76" t="s">
        <v>55</v>
      </c>
      <c r="J6" s="77" t="s">
        <v>35</v>
      </c>
      <c r="K6" s="77" t="s">
        <v>56</v>
      </c>
      <c r="L6" s="77"/>
      <c r="M6" s="70">
        <v>3570558</v>
      </c>
      <c r="N6" s="70">
        <v>499878.12</v>
      </c>
      <c r="O6" s="69">
        <f t="shared" si="0"/>
        <v>4070436.12</v>
      </c>
      <c r="P6" s="64">
        <v>0</v>
      </c>
      <c r="Q6" s="64"/>
      <c r="R6" s="70">
        <f t="shared" si="3"/>
        <v>3570558</v>
      </c>
      <c r="S6" s="78">
        <f t="shared" si="3"/>
        <v>499878.12</v>
      </c>
      <c r="T6" s="78">
        <f t="shared" si="4"/>
        <v>4070436.12</v>
      </c>
      <c r="U6" s="13"/>
      <c r="V6" s="70">
        <v>416973.03</v>
      </c>
      <c r="W6" s="70">
        <v>2762522.09</v>
      </c>
      <c r="X6" s="65">
        <f t="shared" si="1"/>
        <v>3179495.12</v>
      </c>
      <c r="Y6" s="65">
        <f t="shared" si="5"/>
        <v>357055.80000000005</v>
      </c>
      <c r="Z6" s="71"/>
      <c r="AA6" s="71">
        <f t="shared" si="7"/>
        <v>357055.80000000005</v>
      </c>
      <c r="AB6" s="71">
        <f t="shared" si="6"/>
        <v>533885.20000000019</v>
      </c>
      <c r="AC6" s="69">
        <f t="shared" si="8"/>
        <v>890941</v>
      </c>
    </row>
    <row r="7" spans="1:29" ht="60.75" x14ac:dyDescent="0.25">
      <c r="A7" s="57">
        <v>6</v>
      </c>
      <c r="B7" s="73" t="s">
        <v>57</v>
      </c>
      <c r="C7" s="73" t="s">
        <v>39</v>
      </c>
      <c r="D7" s="74" t="s">
        <v>58</v>
      </c>
      <c r="E7" s="75" t="s">
        <v>59</v>
      </c>
      <c r="F7" s="75" t="s">
        <v>32</v>
      </c>
      <c r="G7" s="75"/>
      <c r="H7" s="76" t="s">
        <v>47</v>
      </c>
      <c r="I7" s="76" t="s">
        <v>34</v>
      </c>
      <c r="J7" s="77" t="s">
        <v>35</v>
      </c>
      <c r="K7" s="77" t="s">
        <v>60</v>
      </c>
      <c r="L7" s="77"/>
      <c r="M7" s="70">
        <v>2012381.58</v>
      </c>
      <c r="N7" s="70">
        <v>241485.79</v>
      </c>
      <c r="O7" s="69">
        <f t="shared" si="0"/>
        <v>2253867.37</v>
      </c>
      <c r="P7" s="64">
        <v>0</v>
      </c>
      <c r="Q7" s="64"/>
      <c r="R7" s="70">
        <f t="shared" si="3"/>
        <v>2012381.58</v>
      </c>
      <c r="S7" s="78">
        <f t="shared" si="3"/>
        <v>241485.79</v>
      </c>
      <c r="T7" s="78">
        <f t="shared" si="4"/>
        <v>2253867.37</v>
      </c>
      <c r="U7" s="13"/>
      <c r="V7" s="70">
        <v>241478.46</v>
      </c>
      <c r="W7" s="70">
        <v>1888467.53</v>
      </c>
      <c r="X7" s="65">
        <f t="shared" si="1"/>
        <v>2129945.9900000002</v>
      </c>
      <c r="Y7" s="65">
        <f t="shared" si="5"/>
        <v>201238.15800000002</v>
      </c>
      <c r="Z7" s="71"/>
      <c r="AA7" s="71">
        <f t="shared" si="7"/>
        <v>201238.15800000002</v>
      </c>
      <c r="AB7" s="71">
        <f t="shared" si="6"/>
        <v>-77316.777999999933</v>
      </c>
      <c r="AC7" s="69">
        <f t="shared" si="8"/>
        <v>123921.37999999989</v>
      </c>
    </row>
    <row r="8" spans="1:29" x14ac:dyDescent="0.25">
      <c r="A8" s="5"/>
      <c r="B8" s="36"/>
      <c r="C8" s="36"/>
      <c r="D8" s="7"/>
      <c r="E8" s="8"/>
      <c r="F8" s="8"/>
      <c r="G8" s="8"/>
      <c r="H8" s="9"/>
      <c r="I8" s="9"/>
      <c r="J8" s="10"/>
      <c r="K8" s="10"/>
      <c r="L8" s="10"/>
      <c r="M8" s="11"/>
      <c r="N8" s="11"/>
      <c r="O8" s="12"/>
      <c r="P8" s="13"/>
      <c r="Q8" s="13"/>
      <c r="R8" s="11">
        <f t="shared" si="3"/>
        <v>0</v>
      </c>
      <c r="S8" s="13"/>
      <c r="T8" s="14">
        <f t="shared" si="4"/>
        <v>0</v>
      </c>
      <c r="U8" s="13"/>
      <c r="V8" s="11"/>
      <c r="W8" s="11"/>
      <c r="X8" s="15"/>
      <c r="Y8" s="65">
        <f t="shared" si="5"/>
        <v>0</v>
      </c>
      <c r="Z8" s="16"/>
      <c r="AA8" s="16"/>
      <c r="AB8" s="16"/>
      <c r="AC8" s="69">
        <f t="shared" si="8"/>
        <v>0</v>
      </c>
    </row>
    <row r="9" spans="1:29" ht="48.75" x14ac:dyDescent="0.25">
      <c r="A9" s="57">
        <v>7</v>
      </c>
      <c r="B9" s="73" t="s">
        <v>62</v>
      </c>
      <c r="C9" s="73" t="s">
        <v>63</v>
      </c>
      <c r="D9" s="74" t="s">
        <v>64</v>
      </c>
      <c r="E9" s="75" t="s">
        <v>65</v>
      </c>
      <c r="F9" s="75" t="s">
        <v>66</v>
      </c>
      <c r="G9" s="75"/>
      <c r="H9" s="76" t="s">
        <v>67</v>
      </c>
      <c r="I9" s="76" t="s">
        <v>68</v>
      </c>
      <c r="J9" s="77" t="s">
        <v>69</v>
      </c>
      <c r="K9" s="77"/>
      <c r="L9" s="77"/>
      <c r="M9" s="70">
        <v>7742792.7199999997</v>
      </c>
      <c r="N9" s="70">
        <v>1083990.98</v>
      </c>
      <c r="O9" s="69">
        <f t="shared" ref="O9:O19" si="9">M9+N9</f>
        <v>8826783.6999999993</v>
      </c>
      <c r="P9" s="64">
        <v>0</v>
      </c>
      <c r="Q9" s="64"/>
      <c r="R9" s="70">
        <f t="shared" si="3"/>
        <v>7742792.7199999997</v>
      </c>
      <c r="S9" s="64">
        <f t="shared" ref="S9:S19" si="10">N9+Q9</f>
        <v>1083990.98</v>
      </c>
      <c r="T9" s="78">
        <f t="shared" si="4"/>
        <v>8826783.6999999993</v>
      </c>
      <c r="U9" s="13"/>
      <c r="V9" s="70">
        <v>1082854.57</v>
      </c>
      <c r="W9" s="70">
        <v>6961176.96</v>
      </c>
      <c r="X9" s="65">
        <f t="shared" ref="X9:X15" si="11">V9+W9</f>
        <v>8044031.5300000003</v>
      </c>
      <c r="Y9" s="65">
        <f t="shared" si="5"/>
        <v>774279.272</v>
      </c>
      <c r="Z9" s="71"/>
      <c r="AA9" s="71">
        <f t="shared" ref="AA9:AA18" si="12">Y9-Z9</f>
        <v>774279.272</v>
      </c>
      <c r="AB9" s="71">
        <f t="shared" ref="AB9:AB19" si="13">IF(T9&gt;0,T9-(X9+Y9),O9-(X9+Y9))</f>
        <v>8472.8979999981821</v>
      </c>
      <c r="AC9" s="69">
        <f t="shared" si="8"/>
        <v>782752.16999999899</v>
      </c>
    </row>
    <row r="10" spans="1:29" ht="36.75" x14ac:dyDescent="0.25">
      <c r="A10" s="57">
        <v>8</v>
      </c>
      <c r="B10" s="73" t="s">
        <v>70</v>
      </c>
      <c r="C10" s="73" t="s">
        <v>63</v>
      </c>
      <c r="D10" s="79" t="s">
        <v>71</v>
      </c>
      <c r="E10" s="75" t="s">
        <v>72</v>
      </c>
      <c r="F10" s="75" t="s">
        <v>54</v>
      </c>
      <c r="G10" s="75"/>
      <c r="H10" s="76" t="s">
        <v>73</v>
      </c>
      <c r="I10" s="76" t="s">
        <v>49</v>
      </c>
      <c r="J10" s="77" t="s">
        <v>69</v>
      </c>
      <c r="K10" s="77"/>
      <c r="L10" s="77"/>
      <c r="M10" s="70">
        <v>9066203.0600000005</v>
      </c>
      <c r="N10" s="70">
        <v>1269268.43</v>
      </c>
      <c r="O10" s="69">
        <f t="shared" si="9"/>
        <v>10335471.49</v>
      </c>
      <c r="P10" s="64">
        <v>1374929.54</v>
      </c>
      <c r="Q10" s="64">
        <v>265654.86</v>
      </c>
      <c r="R10" s="70">
        <f t="shared" si="3"/>
        <v>10441132.600000001</v>
      </c>
      <c r="S10" s="64">
        <f t="shared" si="10"/>
        <v>1534923.29</v>
      </c>
      <c r="T10" s="78">
        <f t="shared" si="4"/>
        <v>11976055.890000001</v>
      </c>
      <c r="U10" s="11"/>
      <c r="V10" s="70">
        <v>1271022.06</v>
      </c>
      <c r="W10" s="70">
        <v>9254141.9800000004</v>
      </c>
      <c r="X10" s="65">
        <f t="shared" si="11"/>
        <v>10525164.040000001</v>
      </c>
      <c r="Y10" s="65">
        <f t="shared" si="5"/>
        <v>1044113.2600000002</v>
      </c>
      <c r="Z10" s="71"/>
      <c r="AA10" s="71">
        <f t="shared" si="12"/>
        <v>1044113.2600000002</v>
      </c>
      <c r="AB10" s="71">
        <f t="shared" si="13"/>
        <v>406778.58999999985</v>
      </c>
      <c r="AC10" s="69">
        <f t="shared" si="8"/>
        <v>1450891.8499999996</v>
      </c>
    </row>
    <row r="11" spans="1:29" ht="72.75" x14ac:dyDescent="0.25">
      <c r="A11" s="57">
        <v>9</v>
      </c>
      <c r="B11" s="88" t="s">
        <v>74</v>
      </c>
      <c r="C11" s="73" t="s">
        <v>63</v>
      </c>
      <c r="D11" s="83" t="s">
        <v>75</v>
      </c>
      <c r="E11" s="75" t="s">
        <v>76</v>
      </c>
      <c r="F11" s="75" t="s">
        <v>77</v>
      </c>
      <c r="G11" s="75"/>
      <c r="H11" s="76" t="s">
        <v>78</v>
      </c>
      <c r="I11" s="76" t="s">
        <v>79</v>
      </c>
      <c r="J11" s="77" t="s">
        <v>35</v>
      </c>
      <c r="K11" s="77" t="s">
        <v>80</v>
      </c>
      <c r="L11" s="77"/>
      <c r="M11" s="70">
        <v>2973390.75</v>
      </c>
      <c r="N11" s="70">
        <v>329339.08</v>
      </c>
      <c r="O11" s="69">
        <f t="shared" si="9"/>
        <v>3302729.83</v>
      </c>
      <c r="P11" s="64">
        <v>0</v>
      </c>
      <c r="Q11" s="64">
        <v>0</v>
      </c>
      <c r="R11" s="64">
        <f t="shared" ref="R11:R19" si="14">M11+P11</f>
        <v>2973390.75</v>
      </c>
      <c r="S11" s="64">
        <f t="shared" si="10"/>
        <v>329339.08</v>
      </c>
      <c r="T11" s="64">
        <f t="shared" ref="T11:T19" si="15">R11+S11</f>
        <v>3302729.83</v>
      </c>
      <c r="U11" s="13"/>
      <c r="V11" s="70">
        <f>425297.27</f>
        <v>425297.27</v>
      </c>
      <c r="W11" s="70">
        <v>2817206.69</v>
      </c>
      <c r="X11" s="65">
        <f t="shared" si="11"/>
        <v>3242503.96</v>
      </c>
      <c r="Y11" s="65">
        <f t="shared" si="5"/>
        <v>297339.07500000001</v>
      </c>
      <c r="Z11" s="71">
        <v>135270.19</v>
      </c>
      <c r="AA11" s="71">
        <f t="shared" si="12"/>
        <v>162068.88500000001</v>
      </c>
      <c r="AB11" s="71">
        <f t="shared" si="13"/>
        <v>-237113.20500000007</v>
      </c>
      <c r="AC11" s="69">
        <f t="shared" si="8"/>
        <v>60225.870000000112</v>
      </c>
    </row>
    <row r="12" spans="1:29" ht="36.75" x14ac:dyDescent="0.25">
      <c r="A12" s="57">
        <v>10</v>
      </c>
      <c r="B12" s="73" t="s">
        <v>81</v>
      </c>
      <c r="C12" s="73" t="s">
        <v>63</v>
      </c>
      <c r="D12" s="74" t="s">
        <v>82</v>
      </c>
      <c r="E12" s="75" t="s">
        <v>83</v>
      </c>
      <c r="F12" s="75" t="s">
        <v>84</v>
      </c>
      <c r="G12" s="75"/>
      <c r="H12" s="76" t="s">
        <v>85</v>
      </c>
      <c r="I12" s="76" t="s">
        <v>86</v>
      </c>
      <c r="J12" s="77" t="s">
        <v>35</v>
      </c>
      <c r="K12" s="77" t="s">
        <v>56</v>
      </c>
      <c r="L12" s="77"/>
      <c r="M12" s="70">
        <v>10600000</v>
      </c>
      <c r="N12" s="70">
        <v>1004400</v>
      </c>
      <c r="O12" s="69">
        <f t="shared" si="9"/>
        <v>11604400</v>
      </c>
      <c r="P12" s="64">
        <v>1903489.12</v>
      </c>
      <c r="Q12" s="64">
        <v>216146.42</v>
      </c>
      <c r="R12" s="64">
        <f t="shared" si="14"/>
        <v>12503489.120000001</v>
      </c>
      <c r="S12" s="64">
        <f t="shared" si="10"/>
        <v>1220546.42</v>
      </c>
      <c r="T12" s="64">
        <f t="shared" si="15"/>
        <v>13724035.540000001</v>
      </c>
      <c r="U12" s="13"/>
      <c r="V12" s="70">
        <v>1519176.53</v>
      </c>
      <c r="W12" s="70">
        <v>11189585.640000001</v>
      </c>
      <c r="X12" s="65">
        <f t="shared" si="11"/>
        <v>12708762.17</v>
      </c>
      <c r="Y12" s="65">
        <f t="shared" si="5"/>
        <v>1250348.9120000002</v>
      </c>
      <c r="Z12" s="71"/>
      <c r="AA12" s="71">
        <f t="shared" si="12"/>
        <v>1250348.9120000002</v>
      </c>
      <c r="AB12" s="71">
        <f t="shared" si="13"/>
        <v>-235075.54199999943</v>
      </c>
      <c r="AC12" s="69">
        <f t="shared" si="8"/>
        <v>1015273.370000001</v>
      </c>
    </row>
    <row r="13" spans="1:29" ht="72.75" x14ac:dyDescent="0.25">
      <c r="A13" s="57">
        <v>11</v>
      </c>
      <c r="B13" s="73"/>
      <c r="C13" s="73"/>
      <c r="D13" s="74" t="s">
        <v>87</v>
      </c>
      <c r="E13" s="75" t="s">
        <v>88</v>
      </c>
      <c r="F13" s="75" t="s">
        <v>89</v>
      </c>
      <c r="G13" s="75"/>
      <c r="H13" s="76" t="s">
        <v>90</v>
      </c>
      <c r="I13" s="76" t="s">
        <v>91</v>
      </c>
      <c r="J13" s="77" t="s">
        <v>35</v>
      </c>
      <c r="K13" s="89" t="s">
        <v>92</v>
      </c>
      <c r="L13" s="77"/>
      <c r="M13" s="70">
        <v>2299483</v>
      </c>
      <c r="N13" s="70">
        <v>275937.96000000002</v>
      </c>
      <c r="O13" s="69">
        <f>M13+N13</f>
        <v>2575420.96</v>
      </c>
      <c r="P13" s="64">
        <v>0</v>
      </c>
      <c r="Q13" s="64">
        <v>0</v>
      </c>
      <c r="R13" s="64">
        <f t="shared" si="14"/>
        <v>2299483</v>
      </c>
      <c r="S13" s="64">
        <f t="shared" si="10"/>
        <v>275937.96000000002</v>
      </c>
      <c r="T13" s="64">
        <f t="shared" si="15"/>
        <v>2575420.96</v>
      </c>
      <c r="U13" s="13"/>
      <c r="V13" s="70">
        <v>275934.90999999997</v>
      </c>
      <c r="W13" s="70">
        <v>1720371.84</v>
      </c>
      <c r="X13" s="65">
        <f>V13+W13</f>
        <v>1996306.75</v>
      </c>
      <c r="Y13" s="65">
        <f t="shared" si="5"/>
        <v>229948.30000000002</v>
      </c>
      <c r="Z13" s="71"/>
      <c r="AA13" s="71">
        <f>Y13-Z13</f>
        <v>229948.30000000002</v>
      </c>
      <c r="AB13" s="71">
        <f t="shared" si="13"/>
        <v>349165.91000000015</v>
      </c>
      <c r="AC13" s="69">
        <f t="shared" si="8"/>
        <v>579114.21</v>
      </c>
    </row>
    <row r="14" spans="1:29" ht="24.75" x14ac:dyDescent="0.25">
      <c r="A14" s="57">
        <v>12</v>
      </c>
      <c r="B14" s="73" t="s">
        <v>93</v>
      </c>
      <c r="C14" s="73" t="s">
        <v>63</v>
      </c>
      <c r="D14" s="79" t="s">
        <v>94</v>
      </c>
      <c r="E14" s="75" t="s">
        <v>95</v>
      </c>
      <c r="F14" s="75" t="s">
        <v>54</v>
      </c>
      <c r="G14" s="75"/>
      <c r="H14" s="76" t="s">
        <v>96</v>
      </c>
      <c r="I14" s="76" t="s">
        <v>97</v>
      </c>
      <c r="J14" s="77" t="s">
        <v>35</v>
      </c>
      <c r="K14" s="77" t="s">
        <v>42</v>
      </c>
      <c r="L14" s="77"/>
      <c r="M14" s="70">
        <v>9921503.1600000001</v>
      </c>
      <c r="N14" s="80">
        <v>1389010.44</v>
      </c>
      <c r="O14" s="69">
        <f t="shared" si="9"/>
        <v>11310513.6</v>
      </c>
      <c r="P14" s="64">
        <v>0</v>
      </c>
      <c r="Q14" s="64"/>
      <c r="R14" s="64">
        <f t="shared" si="14"/>
        <v>9921503.1600000001</v>
      </c>
      <c r="S14" s="64">
        <f t="shared" si="10"/>
        <v>1389010.44</v>
      </c>
      <c r="T14" s="90">
        <f t="shared" si="15"/>
        <v>11310513.6</v>
      </c>
      <c r="U14" s="24"/>
      <c r="V14" s="70">
        <v>1351825.51</v>
      </c>
      <c r="W14" s="70">
        <v>9369474.2300000004</v>
      </c>
      <c r="X14" s="65">
        <f t="shared" si="11"/>
        <v>10721299.74</v>
      </c>
      <c r="Y14" s="65">
        <f t="shared" si="5"/>
        <v>992150.31600000011</v>
      </c>
      <c r="Z14" s="71">
        <v>0</v>
      </c>
      <c r="AA14" s="71">
        <f t="shared" si="12"/>
        <v>992150.31600000011</v>
      </c>
      <c r="AB14" s="71">
        <f t="shared" si="13"/>
        <v>-402936.45600000024</v>
      </c>
      <c r="AC14" s="69">
        <f t="shared" si="8"/>
        <v>589213.8599999994</v>
      </c>
    </row>
    <row r="15" spans="1:29" ht="72.75" x14ac:dyDescent="0.25">
      <c r="A15" s="57">
        <v>13</v>
      </c>
      <c r="B15" s="82" t="s">
        <v>98</v>
      </c>
      <c r="C15" s="73" t="s">
        <v>63</v>
      </c>
      <c r="D15" s="74" t="s">
        <v>99</v>
      </c>
      <c r="E15" s="75" t="s">
        <v>100</v>
      </c>
      <c r="F15" s="75" t="s">
        <v>101</v>
      </c>
      <c r="G15" s="75"/>
      <c r="H15" s="76" t="s">
        <v>102</v>
      </c>
      <c r="I15" s="76" t="s">
        <v>103</v>
      </c>
      <c r="J15" s="77" t="s">
        <v>35</v>
      </c>
      <c r="K15" s="77" t="s">
        <v>104</v>
      </c>
      <c r="L15" s="77"/>
      <c r="M15" s="70">
        <v>2973992.67</v>
      </c>
      <c r="N15" s="70">
        <v>416358.97</v>
      </c>
      <c r="O15" s="69">
        <f t="shared" si="9"/>
        <v>3390351.6399999997</v>
      </c>
      <c r="P15" s="70">
        <v>1072117.3319999999</v>
      </c>
      <c r="Q15" s="70">
        <v>110245.61</v>
      </c>
      <c r="R15" s="70">
        <f t="shared" si="14"/>
        <v>4046110.0019999999</v>
      </c>
      <c r="S15" s="70">
        <f t="shared" si="10"/>
        <v>526604.57999999996</v>
      </c>
      <c r="T15" s="70">
        <f t="shared" si="15"/>
        <v>4572714.5819999995</v>
      </c>
      <c r="U15" s="11"/>
      <c r="V15" s="70">
        <f>336318.4+80104.93+110245.62</f>
        <v>526668.94999999995</v>
      </c>
      <c r="W15" s="70">
        <v>3546942.47</v>
      </c>
      <c r="X15" s="65">
        <f t="shared" si="11"/>
        <v>4073611.42</v>
      </c>
      <c r="Y15" s="65">
        <f t="shared" si="5"/>
        <v>404611.00020000001</v>
      </c>
      <c r="Z15" s="71">
        <v>0</v>
      </c>
      <c r="AA15" s="71">
        <f t="shared" si="12"/>
        <v>404611.00020000001</v>
      </c>
      <c r="AB15" s="71">
        <f t="shared" si="13"/>
        <v>94492.161799999885</v>
      </c>
      <c r="AC15" s="69">
        <f t="shared" si="8"/>
        <v>499103.16199999955</v>
      </c>
    </row>
    <row r="16" spans="1:29" ht="84.75" x14ac:dyDescent="0.25">
      <c r="A16" s="57">
        <v>14</v>
      </c>
      <c r="B16" s="82"/>
      <c r="C16" s="73" t="s">
        <v>63</v>
      </c>
      <c r="D16" s="74" t="s">
        <v>105</v>
      </c>
      <c r="E16" s="75" t="s">
        <v>31</v>
      </c>
      <c r="F16" s="75" t="s">
        <v>106</v>
      </c>
      <c r="G16" s="75"/>
      <c r="H16" s="76"/>
      <c r="I16" s="76"/>
      <c r="J16" s="77" t="s">
        <v>69</v>
      </c>
      <c r="K16" s="77"/>
      <c r="L16" s="77"/>
      <c r="M16" s="70">
        <v>9932640.8499999996</v>
      </c>
      <c r="N16" s="70">
        <v>987137.68</v>
      </c>
      <c r="O16" s="69">
        <f t="shared" si="9"/>
        <v>10919778.529999999</v>
      </c>
      <c r="P16" s="70">
        <v>0</v>
      </c>
      <c r="Q16" s="70">
        <v>0</v>
      </c>
      <c r="R16" s="70">
        <f t="shared" si="14"/>
        <v>9932640.8499999996</v>
      </c>
      <c r="S16" s="70">
        <f t="shared" si="10"/>
        <v>987137.68</v>
      </c>
      <c r="T16" s="70">
        <f t="shared" si="15"/>
        <v>10919778.529999999</v>
      </c>
      <c r="U16" s="11"/>
      <c r="V16" s="70">
        <v>956262.1</v>
      </c>
      <c r="W16" s="70">
        <v>1239688.5</v>
      </c>
      <c r="X16" s="65">
        <f>V16+W16</f>
        <v>2195950.6</v>
      </c>
      <c r="Y16" s="65">
        <f t="shared" si="5"/>
        <v>993264.08499999996</v>
      </c>
      <c r="Z16" s="71">
        <v>0</v>
      </c>
      <c r="AA16" s="71">
        <f t="shared" si="12"/>
        <v>993264.08499999996</v>
      </c>
      <c r="AB16" s="71">
        <f t="shared" si="13"/>
        <v>7730563.8449999988</v>
      </c>
      <c r="AC16" s="69">
        <f t="shared" si="8"/>
        <v>8723827.9299999997</v>
      </c>
    </row>
    <row r="17" spans="1:29" ht="48.75" x14ac:dyDescent="0.25">
      <c r="A17" s="57">
        <v>15</v>
      </c>
      <c r="B17" s="82"/>
      <c r="C17" s="73" t="s">
        <v>63</v>
      </c>
      <c r="D17" s="74" t="s">
        <v>107</v>
      </c>
      <c r="E17" s="75" t="s">
        <v>108</v>
      </c>
      <c r="F17" s="75" t="s">
        <v>84</v>
      </c>
      <c r="G17" s="75"/>
      <c r="H17" s="76"/>
      <c r="I17" s="76"/>
      <c r="J17" s="77" t="s">
        <v>69</v>
      </c>
      <c r="K17" s="77"/>
      <c r="L17" s="77"/>
      <c r="M17" s="70">
        <v>4968780.8499999996</v>
      </c>
      <c r="N17" s="70">
        <v>491990.28</v>
      </c>
      <c r="O17" s="69">
        <f t="shared" si="9"/>
        <v>5460771.1299999999</v>
      </c>
      <c r="P17" s="70">
        <v>0</v>
      </c>
      <c r="Q17" s="70">
        <v>0</v>
      </c>
      <c r="R17" s="70">
        <f t="shared" si="14"/>
        <v>4968780.8499999996</v>
      </c>
      <c r="S17" s="70">
        <f t="shared" si="10"/>
        <v>491990.28</v>
      </c>
      <c r="T17" s="70">
        <f t="shared" si="15"/>
        <v>5460771.1299999999</v>
      </c>
      <c r="U17" s="11"/>
      <c r="V17" s="70">
        <v>540672.82999999996</v>
      </c>
      <c r="W17" s="70">
        <v>1461420</v>
      </c>
      <c r="X17" s="65">
        <f>V17+W17</f>
        <v>2002092.83</v>
      </c>
      <c r="Y17" s="65">
        <f t="shared" si="5"/>
        <v>496878.08499999996</v>
      </c>
      <c r="Z17" s="71">
        <v>0</v>
      </c>
      <c r="AA17" s="71">
        <f t="shared" si="12"/>
        <v>496878.08499999996</v>
      </c>
      <c r="AB17" s="71">
        <f t="shared" si="13"/>
        <v>2961800.2149999999</v>
      </c>
      <c r="AC17" s="69">
        <f t="shared" si="8"/>
        <v>3458678.3</v>
      </c>
    </row>
    <row r="18" spans="1:29" ht="36.75" x14ac:dyDescent="0.25">
      <c r="A18" s="57">
        <v>16</v>
      </c>
      <c r="B18" s="82"/>
      <c r="C18" s="73" t="s">
        <v>63</v>
      </c>
      <c r="D18" s="74" t="s">
        <v>109</v>
      </c>
      <c r="E18" s="75" t="s">
        <v>110</v>
      </c>
      <c r="F18" s="75" t="s">
        <v>66</v>
      </c>
      <c r="G18" s="75"/>
      <c r="H18" s="76"/>
      <c r="I18" s="76"/>
      <c r="J18" s="77" t="s">
        <v>69</v>
      </c>
      <c r="K18" s="77"/>
      <c r="L18" s="77"/>
      <c r="M18" s="70">
        <v>4078840.2</v>
      </c>
      <c r="N18" s="70">
        <v>603107.22</v>
      </c>
      <c r="O18" s="69">
        <f t="shared" si="9"/>
        <v>4681947.42</v>
      </c>
      <c r="P18" s="70">
        <v>0</v>
      </c>
      <c r="Q18" s="70">
        <v>0</v>
      </c>
      <c r="R18" s="70">
        <f t="shared" si="14"/>
        <v>4078840.2</v>
      </c>
      <c r="S18" s="70">
        <f t="shared" si="10"/>
        <v>603107.22</v>
      </c>
      <c r="T18" s="70">
        <f t="shared" si="15"/>
        <v>4681947.42</v>
      </c>
      <c r="U18" s="11"/>
      <c r="V18" s="70">
        <v>584939.13</v>
      </c>
      <c r="W18" s="70">
        <v>742985.9</v>
      </c>
      <c r="X18" s="65">
        <f>V18+W18</f>
        <v>1327925.03</v>
      </c>
      <c r="Y18" s="65">
        <f t="shared" si="5"/>
        <v>407884.02</v>
      </c>
      <c r="Z18" s="71">
        <v>0</v>
      </c>
      <c r="AA18" s="71">
        <f t="shared" si="12"/>
        <v>407884.02</v>
      </c>
      <c r="AB18" s="71">
        <f t="shared" si="13"/>
        <v>2946138.37</v>
      </c>
      <c r="AC18" s="69">
        <f t="shared" si="8"/>
        <v>3354022.3899999997</v>
      </c>
    </row>
    <row r="19" spans="1:29" ht="36.75" x14ac:dyDescent="0.25">
      <c r="A19" s="57">
        <v>17</v>
      </c>
      <c r="B19" s="82"/>
      <c r="C19" s="73" t="s">
        <v>63</v>
      </c>
      <c r="D19" s="74" t="s">
        <v>173</v>
      </c>
      <c r="E19" s="75" t="s">
        <v>174</v>
      </c>
      <c r="F19" s="75" t="s">
        <v>175</v>
      </c>
      <c r="G19" s="75"/>
      <c r="H19" s="91" t="s">
        <v>178</v>
      </c>
      <c r="I19" s="91" t="s">
        <v>177</v>
      </c>
      <c r="J19" s="77" t="s">
        <v>176</v>
      </c>
      <c r="K19" s="77"/>
      <c r="L19" s="89" t="s">
        <v>177</v>
      </c>
      <c r="M19" s="70">
        <v>949800</v>
      </c>
      <c r="N19" s="70">
        <v>0</v>
      </c>
      <c r="O19" s="69">
        <f t="shared" si="9"/>
        <v>949800</v>
      </c>
      <c r="P19" s="70">
        <v>0</v>
      </c>
      <c r="Q19" s="70">
        <v>0</v>
      </c>
      <c r="R19" s="70">
        <f t="shared" si="14"/>
        <v>949800</v>
      </c>
      <c r="S19" s="70">
        <f t="shared" si="10"/>
        <v>0</v>
      </c>
      <c r="T19" s="70">
        <f t="shared" si="15"/>
        <v>949800</v>
      </c>
      <c r="U19" s="11"/>
      <c r="V19" s="70">
        <v>0</v>
      </c>
      <c r="W19" s="70">
        <v>949800</v>
      </c>
      <c r="X19" s="65">
        <f>V19+W19</f>
        <v>949800</v>
      </c>
      <c r="Y19" s="65">
        <f t="shared" si="5"/>
        <v>94980</v>
      </c>
      <c r="Z19" s="71">
        <v>0</v>
      </c>
      <c r="AA19" s="71">
        <v>0</v>
      </c>
      <c r="AB19" s="71">
        <f t="shared" si="13"/>
        <v>-94980</v>
      </c>
      <c r="AC19" s="69">
        <f t="shared" si="8"/>
        <v>0</v>
      </c>
    </row>
    <row r="20" spans="1:29" x14ac:dyDescent="0.25">
      <c r="A20" s="57"/>
      <c r="B20" s="82"/>
      <c r="C20" s="73"/>
      <c r="D20" s="74"/>
      <c r="E20" s="75"/>
      <c r="F20" s="75"/>
      <c r="G20" s="75"/>
      <c r="H20" s="76"/>
      <c r="I20" s="76"/>
      <c r="J20" s="77"/>
      <c r="K20" s="77"/>
      <c r="L20" s="77"/>
      <c r="M20" s="70"/>
      <c r="N20" s="70"/>
      <c r="O20" s="69"/>
      <c r="P20" s="70"/>
      <c r="Q20" s="70"/>
      <c r="R20" s="70"/>
      <c r="S20" s="70"/>
      <c r="T20" s="70"/>
      <c r="U20" s="11"/>
      <c r="V20" s="70"/>
      <c r="W20" s="70"/>
      <c r="X20" s="65"/>
      <c r="Y20" s="65">
        <f t="shared" si="5"/>
        <v>0</v>
      </c>
      <c r="Z20" s="71"/>
      <c r="AA20" s="71"/>
      <c r="AB20" s="71"/>
      <c r="AC20" s="69">
        <f t="shared" si="8"/>
        <v>0</v>
      </c>
    </row>
    <row r="21" spans="1:29" x14ac:dyDescent="0.25">
      <c r="A21" s="5" t="s">
        <v>61</v>
      </c>
      <c r="B21" s="6"/>
      <c r="C21" s="6"/>
      <c r="D21" s="25"/>
      <c r="E21" s="8"/>
      <c r="F21" s="8"/>
      <c r="G21" s="8"/>
      <c r="H21" s="9"/>
      <c r="I21" s="9"/>
      <c r="J21" s="10"/>
      <c r="K21" s="10"/>
      <c r="L21" s="10"/>
      <c r="M21" s="11"/>
      <c r="N21" s="11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65">
        <f t="shared" si="5"/>
        <v>0</v>
      </c>
      <c r="Z21" s="12"/>
      <c r="AA21" s="12"/>
      <c r="AB21" s="12"/>
      <c r="AC21" s="69">
        <f t="shared" si="8"/>
        <v>0</v>
      </c>
    </row>
    <row r="22" spans="1:29" ht="48.75" x14ac:dyDescent="0.25">
      <c r="A22" s="2">
        <v>18</v>
      </c>
      <c r="B22" s="3" t="s">
        <v>111</v>
      </c>
      <c r="C22" s="4" t="s">
        <v>63</v>
      </c>
      <c r="D22" s="26" t="s">
        <v>112</v>
      </c>
      <c r="E22" s="17" t="s">
        <v>113</v>
      </c>
      <c r="F22" s="17" t="s">
        <v>114</v>
      </c>
      <c r="G22" s="17"/>
      <c r="H22" s="27" t="s">
        <v>115</v>
      </c>
      <c r="I22" s="27" t="s">
        <v>116</v>
      </c>
      <c r="J22" s="18" t="s">
        <v>69</v>
      </c>
      <c r="K22" s="18"/>
      <c r="L22" s="18"/>
      <c r="M22" s="19">
        <v>5498992.3799999999</v>
      </c>
      <c r="N22" s="19"/>
      <c r="O22" s="20">
        <f t="shared" ref="O22:O23" si="16">M22+N22</f>
        <v>5498992.3799999999</v>
      </c>
      <c r="P22" s="21">
        <v>0</v>
      </c>
      <c r="Q22" s="21">
        <v>0</v>
      </c>
      <c r="R22" s="21">
        <f>M22+P22</f>
        <v>5498992.3799999999</v>
      </c>
      <c r="S22" s="21">
        <f>N22+Q22</f>
        <v>0</v>
      </c>
      <c r="T22" s="21">
        <f>R22+S22</f>
        <v>5498992.3799999999</v>
      </c>
      <c r="U22" s="13"/>
      <c r="V22" s="19">
        <v>962418.78</v>
      </c>
      <c r="W22" s="19">
        <f>'[1]Esigodlweni Electrification'!S59+'[1]Esigodlweni Electrification'!S75</f>
        <v>0</v>
      </c>
      <c r="X22" s="22">
        <f t="shared" ref="X22:X23" si="17">V22+W22</f>
        <v>962418.78</v>
      </c>
      <c r="Y22" s="65">
        <f t="shared" si="5"/>
        <v>549899.23800000001</v>
      </c>
      <c r="Z22" s="23">
        <v>0</v>
      </c>
      <c r="AA22" s="23">
        <f>Y22-Z22</f>
        <v>549899.23800000001</v>
      </c>
      <c r="AB22" s="71">
        <f t="shared" ref="AB22:AB23" si="18">IF(T22&gt;0,T22-(X22+Y22),O22-(X22+Y22))</f>
        <v>3986674.3619999997</v>
      </c>
      <c r="AC22" s="69">
        <f t="shared" si="8"/>
        <v>4536573.5999999996</v>
      </c>
    </row>
    <row r="23" spans="1:29" ht="108.75" x14ac:dyDescent="0.25">
      <c r="A23" s="2">
        <v>19</v>
      </c>
      <c r="B23" s="3" t="s">
        <v>111</v>
      </c>
      <c r="C23" s="4" t="s">
        <v>63</v>
      </c>
      <c r="D23" s="26" t="s">
        <v>117</v>
      </c>
      <c r="E23" s="17" t="s">
        <v>118</v>
      </c>
      <c r="F23" s="17" t="s">
        <v>119</v>
      </c>
      <c r="G23" s="17"/>
      <c r="H23" s="27" t="s">
        <v>120</v>
      </c>
      <c r="I23" s="27" t="s">
        <v>121</v>
      </c>
      <c r="J23" s="18" t="s">
        <v>69</v>
      </c>
      <c r="K23" s="18"/>
      <c r="L23" s="18"/>
      <c r="M23" s="19">
        <v>7820653.2000000002</v>
      </c>
      <c r="N23" s="19">
        <v>600000</v>
      </c>
      <c r="O23" s="20">
        <f t="shared" si="16"/>
        <v>8420653.1999999993</v>
      </c>
      <c r="P23" s="21">
        <v>0</v>
      </c>
      <c r="Q23" s="21">
        <v>0</v>
      </c>
      <c r="R23" s="21">
        <f>M23+P23</f>
        <v>7820653.2000000002</v>
      </c>
      <c r="S23" s="21">
        <f>N23+Q23</f>
        <v>600000</v>
      </c>
      <c r="T23" s="21">
        <f>R23+S23</f>
        <v>8420653.1999999993</v>
      </c>
      <c r="U23" s="13"/>
      <c r="V23" s="19">
        <v>1955529.61</v>
      </c>
      <c r="W23" s="19">
        <v>5444634.75</v>
      </c>
      <c r="X23" s="22">
        <f t="shared" si="17"/>
        <v>7400164.3600000003</v>
      </c>
      <c r="Y23" s="65">
        <f t="shared" si="5"/>
        <v>782065.32000000007</v>
      </c>
      <c r="Z23" s="23">
        <v>0</v>
      </c>
      <c r="AA23" s="23">
        <f>Y23-Z23</f>
        <v>782065.32000000007</v>
      </c>
      <c r="AB23" s="23">
        <f t="shared" si="18"/>
        <v>238423.51999999862</v>
      </c>
      <c r="AC23" s="69">
        <f>T23-X23</f>
        <v>1020488.8399999989</v>
      </c>
    </row>
    <row r="24" spans="1:29" x14ac:dyDescent="0.25">
      <c r="A24" s="28"/>
      <c r="B24" s="29"/>
      <c r="C24" s="29"/>
      <c r="D24" s="30" t="s">
        <v>122</v>
      </c>
      <c r="E24" s="31"/>
      <c r="F24" s="31"/>
      <c r="G24" s="17"/>
      <c r="H24" s="32"/>
      <c r="I24" s="32"/>
      <c r="J24" s="33"/>
      <c r="K24" s="33"/>
      <c r="L24" s="33"/>
      <c r="M24" s="34">
        <f t="shared" ref="M24:T24" si="19">SUM(M2:M23)</f>
        <v>92136563.11999999</v>
      </c>
      <c r="N24" s="34">
        <f t="shared" si="19"/>
        <v>10245293.640000001</v>
      </c>
      <c r="O24" s="34">
        <f t="shared" si="19"/>
        <v>102381856.75999999</v>
      </c>
      <c r="P24" s="34">
        <f t="shared" si="19"/>
        <v>4538579.6320000002</v>
      </c>
      <c r="Q24" s="34">
        <f t="shared" si="19"/>
        <v>614612.13</v>
      </c>
      <c r="R24" s="34">
        <f t="shared" si="19"/>
        <v>96675142.751999989</v>
      </c>
      <c r="S24" s="34">
        <f t="shared" si="19"/>
        <v>10859905.77</v>
      </c>
      <c r="T24" s="34">
        <f t="shared" si="19"/>
        <v>107535048.522</v>
      </c>
      <c r="U24" s="35"/>
      <c r="V24" s="34">
        <f t="shared" ref="V24:AC24" si="20">SUM(V2:V23)</f>
        <v>13841068.24</v>
      </c>
      <c r="W24" s="34">
        <f t="shared" si="20"/>
        <v>66959857.81000001</v>
      </c>
      <c r="X24" s="34">
        <f t="shared" si="20"/>
        <v>80800926.050000012</v>
      </c>
      <c r="Y24" s="65">
        <f t="shared" ref="Y24" si="21">R24*10%</f>
        <v>9667514.2752</v>
      </c>
      <c r="Z24" s="34">
        <f t="shared" si="20"/>
        <v>515814.61</v>
      </c>
      <c r="AA24" s="34">
        <f t="shared" si="20"/>
        <v>9056719.6652000006</v>
      </c>
      <c r="AB24" s="34">
        <f t="shared" si="20"/>
        <v>17066608.196799997</v>
      </c>
      <c r="AC24" s="34">
        <f t="shared" si="20"/>
        <v>26734122.471999999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D1" workbookViewId="0">
      <pane ySplit="1" topLeftCell="A17" activePane="bottomLeft" state="frozen"/>
      <selection pane="bottomLeft" activeCell="N17" sqref="N17"/>
    </sheetView>
  </sheetViews>
  <sheetFormatPr defaultRowHeight="15" x14ac:dyDescent="0.25"/>
  <cols>
    <col min="1" max="1" width="12.5703125" customWidth="1"/>
    <col min="2" max="2" width="15.140625" customWidth="1"/>
    <col min="3" max="3" width="18.7109375" customWidth="1"/>
    <col min="4" max="4" width="18.85546875" customWidth="1"/>
    <col min="5" max="5" width="11.7109375" customWidth="1"/>
    <col min="6" max="6" width="12" customWidth="1"/>
    <col min="7" max="7" width="18.42578125" customWidth="1"/>
    <col min="8" max="8" width="14.28515625" customWidth="1"/>
    <col min="9" max="9" width="11" bestFit="1" customWidth="1"/>
    <col min="10" max="10" width="14.28515625" customWidth="1"/>
    <col min="12" max="12" width="13.5703125" bestFit="1" customWidth="1"/>
    <col min="13" max="13" width="14.140625" bestFit="1" customWidth="1"/>
    <col min="14" max="14" width="14.28515625" bestFit="1" customWidth="1"/>
  </cols>
  <sheetData>
    <row r="1" spans="1:14" ht="36" x14ac:dyDescent="0.25">
      <c r="A1" s="41" t="s">
        <v>123</v>
      </c>
      <c r="B1" s="42" t="s">
        <v>2</v>
      </c>
      <c r="C1" s="41" t="s">
        <v>3</v>
      </c>
      <c r="D1" s="42" t="s">
        <v>124</v>
      </c>
      <c r="E1" s="43" t="s">
        <v>7</v>
      </c>
      <c r="F1" s="43" t="s">
        <v>8</v>
      </c>
      <c r="G1" s="43" t="s">
        <v>125</v>
      </c>
      <c r="H1" s="43" t="s">
        <v>9</v>
      </c>
      <c r="I1" s="43" t="s">
        <v>126</v>
      </c>
      <c r="J1" s="41" t="s">
        <v>14</v>
      </c>
      <c r="K1" s="43" t="s">
        <v>127</v>
      </c>
      <c r="L1" s="43" t="s">
        <v>150</v>
      </c>
      <c r="M1" s="43" t="s">
        <v>27</v>
      </c>
    </row>
    <row r="2" spans="1:14" ht="24.75" x14ac:dyDescent="0.25">
      <c r="A2" s="2" t="s">
        <v>128</v>
      </c>
      <c r="B2" s="2" t="s">
        <v>129</v>
      </c>
      <c r="C2" s="44" t="s">
        <v>151</v>
      </c>
      <c r="D2" s="45" t="s">
        <v>130</v>
      </c>
      <c r="E2" s="46">
        <v>41044</v>
      </c>
      <c r="F2" s="46" t="s">
        <v>131</v>
      </c>
      <c r="G2" s="46" t="s">
        <v>132</v>
      </c>
      <c r="H2" s="47" t="s">
        <v>180</v>
      </c>
      <c r="I2" s="48">
        <v>34500</v>
      </c>
      <c r="J2" s="49">
        <f>I2*12</f>
        <v>414000</v>
      </c>
      <c r="K2" s="21"/>
      <c r="L2" s="22">
        <v>414000</v>
      </c>
      <c r="M2" s="21">
        <f>J2-L2</f>
        <v>0</v>
      </c>
    </row>
    <row r="3" spans="1:14" s="66" customFormat="1" ht="24.75" x14ac:dyDescent="0.25">
      <c r="A3" s="57" t="s">
        <v>128</v>
      </c>
      <c r="B3" s="57" t="s">
        <v>129</v>
      </c>
      <c r="C3" s="58" t="s">
        <v>133</v>
      </c>
      <c r="D3" s="59" t="s">
        <v>134</v>
      </c>
      <c r="E3" s="60">
        <v>41548</v>
      </c>
      <c r="F3" s="60">
        <v>43373</v>
      </c>
      <c r="G3" s="60" t="s">
        <v>155</v>
      </c>
      <c r="H3" s="61" t="s">
        <v>180</v>
      </c>
      <c r="I3" s="62"/>
      <c r="J3" s="63">
        <v>621677</v>
      </c>
      <c r="K3" s="64"/>
      <c r="L3" s="65">
        <v>621677</v>
      </c>
      <c r="M3" s="64">
        <f>J3-L3</f>
        <v>0</v>
      </c>
    </row>
    <row r="4" spans="1:14" s="66" customFormat="1" ht="48.75" x14ac:dyDescent="0.25">
      <c r="A4" s="57" t="s">
        <v>128</v>
      </c>
      <c r="B4" s="57" t="s">
        <v>129</v>
      </c>
      <c r="C4" s="59" t="s">
        <v>135</v>
      </c>
      <c r="D4" s="58" t="s">
        <v>136</v>
      </c>
      <c r="E4" s="60">
        <v>43391</v>
      </c>
      <c r="F4" s="60">
        <v>43634</v>
      </c>
      <c r="G4" s="67" t="s">
        <v>137</v>
      </c>
      <c r="H4" s="61" t="s">
        <v>180</v>
      </c>
      <c r="I4" s="62"/>
      <c r="J4" s="68"/>
      <c r="K4" s="64"/>
      <c r="L4" s="65">
        <v>412958.15</v>
      </c>
      <c r="M4" s="64">
        <f>I4*3</f>
        <v>0</v>
      </c>
    </row>
    <row r="5" spans="1:14" ht="48.75" x14ac:dyDescent="0.25">
      <c r="A5" s="2" t="s">
        <v>128</v>
      </c>
      <c r="B5" s="2" t="s">
        <v>63</v>
      </c>
      <c r="C5" s="44" t="s">
        <v>138</v>
      </c>
      <c r="D5" s="44" t="s">
        <v>139</v>
      </c>
      <c r="E5" s="46">
        <v>42370</v>
      </c>
      <c r="F5" s="46">
        <v>43465</v>
      </c>
      <c r="G5" s="50" t="s">
        <v>179</v>
      </c>
      <c r="H5" s="47" t="s">
        <v>180</v>
      </c>
      <c r="I5" s="48"/>
      <c r="J5" s="49">
        <f>973904.23*36</f>
        <v>35060552.280000001</v>
      </c>
      <c r="K5" s="21"/>
      <c r="L5" s="22">
        <f>49373065+20204338.34</f>
        <v>69577403.340000004</v>
      </c>
      <c r="M5" s="21">
        <v>0</v>
      </c>
      <c r="N5" s="53"/>
    </row>
    <row r="6" spans="1:14" ht="108.75" x14ac:dyDescent="0.25">
      <c r="A6" s="2" t="s">
        <v>128</v>
      </c>
      <c r="B6" s="2" t="s">
        <v>129</v>
      </c>
      <c r="C6" s="45" t="s">
        <v>140</v>
      </c>
      <c r="D6" s="44" t="s">
        <v>141</v>
      </c>
      <c r="E6" s="46">
        <v>42675</v>
      </c>
      <c r="F6" s="46">
        <v>43404</v>
      </c>
      <c r="G6" s="50" t="s">
        <v>152</v>
      </c>
      <c r="H6" s="47" t="s">
        <v>180</v>
      </c>
      <c r="I6" s="48"/>
      <c r="J6" s="54" t="s">
        <v>153</v>
      </c>
      <c r="K6" s="21"/>
      <c r="L6" s="19">
        <v>304836.51</v>
      </c>
      <c r="M6" s="21">
        <v>0</v>
      </c>
    </row>
    <row r="7" spans="1:14" ht="48.75" x14ac:dyDescent="0.25">
      <c r="A7" s="2" t="s">
        <v>128</v>
      </c>
      <c r="B7" s="2" t="s">
        <v>129</v>
      </c>
      <c r="C7" s="45" t="s">
        <v>140</v>
      </c>
      <c r="D7" s="44" t="s">
        <v>142</v>
      </c>
      <c r="E7" s="46">
        <v>42736</v>
      </c>
      <c r="F7" s="46">
        <v>43100</v>
      </c>
      <c r="G7" s="50" t="s">
        <v>137</v>
      </c>
      <c r="H7" s="47"/>
      <c r="I7" s="48">
        <f>36097.53</f>
        <v>36097.53</v>
      </c>
      <c r="J7" s="49">
        <f>I7*12</f>
        <v>433170.36</v>
      </c>
      <c r="K7" s="21"/>
      <c r="L7" s="22"/>
      <c r="M7" s="21">
        <f>J7</f>
        <v>433170.36</v>
      </c>
    </row>
    <row r="8" spans="1:14" x14ac:dyDescent="0.25">
      <c r="A8" s="2" t="s">
        <v>128</v>
      </c>
      <c r="B8" s="2" t="s">
        <v>63</v>
      </c>
      <c r="C8" s="44" t="s">
        <v>154</v>
      </c>
      <c r="D8" s="45" t="s">
        <v>186</v>
      </c>
      <c r="E8" s="51">
        <v>42675</v>
      </c>
      <c r="F8" s="51">
        <v>43769</v>
      </c>
      <c r="G8" s="51"/>
      <c r="H8" s="47" t="s">
        <v>181</v>
      </c>
      <c r="I8" s="48"/>
      <c r="J8" s="52">
        <v>5642592</v>
      </c>
      <c r="K8" s="21"/>
      <c r="L8" s="19">
        <v>4942162.05</v>
      </c>
      <c r="M8" s="52">
        <f t="shared" ref="M8:M13" si="0">J8-L8</f>
        <v>700429.95000000019</v>
      </c>
    </row>
    <row r="9" spans="1:14" x14ac:dyDescent="0.25">
      <c r="A9" s="2"/>
      <c r="B9" s="2"/>
      <c r="C9" s="44"/>
      <c r="D9" s="45" t="s">
        <v>187</v>
      </c>
      <c r="E9" s="51">
        <v>42675</v>
      </c>
      <c r="F9" s="51">
        <v>43769</v>
      </c>
      <c r="G9" s="51"/>
      <c r="H9" s="47" t="s">
        <v>181</v>
      </c>
      <c r="I9" s="48"/>
      <c r="J9" s="52">
        <v>1034166.6</v>
      </c>
      <c r="K9" s="21"/>
      <c r="L9" s="19">
        <v>655122</v>
      </c>
      <c r="M9" s="52">
        <f t="shared" si="0"/>
        <v>379044.6</v>
      </c>
    </row>
    <row r="10" spans="1:14" x14ac:dyDescent="0.25">
      <c r="A10" s="2" t="s">
        <v>128</v>
      </c>
      <c r="B10" s="2" t="s">
        <v>63</v>
      </c>
      <c r="C10" s="44" t="s">
        <v>144</v>
      </c>
      <c r="D10" s="45" t="s">
        <v>143</v>
      </c>
      <c r="E10" s="51">
        <v>43201</v>
      </c>
      <c r="F10" s="51">
        <v>43434</v>
      </c>
      <c r="G10" s="51"/>
      <c r="H10" s="47" t="s">
        <v>180</v>
      </c>
      <c r="I10" s="48"/>
      <c r="J10" s="52">
        <f>2700000*115/100</f>
        <v>3105000</v>
      </c>
      <c r="K10" s="21"/>
      <c r="L10" s="19">
        <v>2947615.35</v>
      </c>
      <c r="M10" s="52">
        <f t="shared" si="0"/>
        <v>157384.64999999991</v>
      </c>
    </row>
    <row r="11" spans="1:14" x14ac:dyDescent="0.25">
      <c r="A11" s="2" t="s">
        <v>128</v>
      </c>
      <c r="B11" s="2" t="s">
        <v>63</v>
      </c>
      <c r="C11" s="44" t="s">
        <v>145</v>
      </c>
      <c r="D11" s="45" t="s">
        <v>146</v>
      </c>
      <c r="E11" s="51">
        <v>42979</v>
      </c>
      <c r="F11" s="51">
        <v>43159</v>
      </c>
      <c r="G11" s="51" t="s">
        <v>147</v>
      </c>
      <c r="H11" s="47" t="s">
        <v>181</v>
      </c>
      <c r="I11" s="47"/>
      <c r="J11" s="52">
        <v>89061.75</v>
      </c>
      <c r="K11" s="21"/>
      <c r="L11" s="19">
        <v>89061.75</v>
      </c>
      <c r="M11" s="52">
        <f t="shared" si="0"/>
        <v>0</v>
      </c>
    </row>
    <row r="12" spans="1:14" ht="24.75" x14ac:dyDescent="0.25">
      <c r="A12" s="2" t="s">
        <v>128</v>
      </c>
      <c r="B12" s="2" t="s">
        <v>63</v>
      </c>
      <c r="C12" s="45" t="s">
        <v>148</v>
      </c>
      <c r="D12" s="44" t="s">
        <v>149</v>
      </c>
      <c r="E12" s="46">
        <v>43281</v>
      </c>
      <c r="F12" s="46"/>
      <c r="G12" s="46"/>
      <c r="H12" s="47" t="s">
        <v>180</v>
      </c>
      <c r="I12" s="47"/>
      <c r="J12" s="49">
        <v>1820181</v>
      </c>
      <c r="K12" s="21"/>
      <c r="L12" s="19">
        <v>1820181</v>
      </c>
      <c r="M12" s="21">
        <f t="shared" si="0"/>
        <v>0</v>
      </c>
    </row>
    <row r="13" spans="1:14" ht="48.75" x14ac:dyDescent="0.25">
      <c r="A13" s="2" t="s">
        <v>128</v>
      </c>
      <c r="B13" s="2" t="s">
        <v>63</v>
      </c>
      <c r="C13" s="17" t="s">
        <v>161</v>
      </c>
      <c r="D13" s="44" t="s">
        <v>156</v>
      </c>
      <c r="E13" s="46">
        <v>43501</v>
      </c>
      <c r="F13" s="46"/>
      <c r="G13" s="46"/>
      <c r="H13" s="47" t="s">
        <v>181</v>
      </c>
      <c r="I13" s="47"/>
      <c r="J13" s="49">
        <v>1633826.51</v>
      </c>
      <c r="K13" s="21"/>
      <c r="L13" s="19">
        <f>139459.01+185606.67</f>
        <v>325065.68000000005</v>
      </c>
      <c r="M13" s="21">
        <f t="shared" si="0"/>
        <v>1308760.83</v>
      </c>
    </row>
    <row r="14" spans="1:14" ht="60.75" x14ac:dyDescent="0.25">
      <c r="A14" s="2" t="s">
        <v>128</v>
      </c>
      <c r="B14" s="2" t="s">
        <v>63</v>
      </c>
      <c r="C14" s="17" t="s">
        <v>158</v>
      </c>
      <c r="D14" s="44" t="s">
        <v>157</v>
      </c>
      <c r="E14" s="46" t="s">
        <v>182</v>
      </c>
      <c r="F14" s="46" t="s">
        <v>183</v>
      </c>
      <c r="G14" s="46"/>
      <c r="H14" s="47" t="s">
        <v>181</v>
      </c>
      <c r="I14" s="47"/>
      <c r="J14" s="54" t="s">
        <v>185</v>
      </c>
      <c r="K14" s="21"/>
      <c r="L14" s="19">
        <v>11447205.699999999</v>
      </c>
      <c r="M14" s="21">
        <v>0</v>
      </c>
    </row>
    <row r="15" spans="1:14" ht="72.75" x14ac:dyDescent="0.25">
      <c r="A15" s="2" t="s">
        <v>128</v>
      </c>
      <c r="B15" s="2" t="s">
        <v>63</v>
      </c>
      <c r="C15" s="17" t="s">
        <v>162</v>
      </c>
      <c r="D15" s="44" t="s">
        <v>159</v>
      </c>
      <c r="E15" s="46"/>
      <c r="F15" s="46"/>
      <c r="G15" s="46"/>
      <c r="H15" s="47" t="s">
        <v>181</v>
      </c>
      <c r="I15" s="47"/>
      <c r="J15" s="49" t="s">
        <v>184</v>
      </c>
      <c r="K15" s="21"/>
      <c r="L15" s="19">
        <v>3964229</v>
      </c>
      <c r="M15" s="21">
        <v>0</v>
      </c>
    </row>
    <row r="16" spans="1:14" ht="48.75" x14ac:dyDescent="0.25">
      <c r="A16" s="2" t="s">
        <v>128</v>
      </c>
      <c r="B16" s="2" t="s">
        <v>63</v>
      </c>
      <c r="C16" s="17" t="s">
        <v>160</v>
      </c>
      <c r="D16" s="44" t="s">
        <v>156</v>
      </c>
      <c r="E16" s="46"/>
      <c r="F16" s="46"/>
      <c r="G16" s="46"/>
      <c r="H16" s="47" t="s">
        <v>181</v>
      </c>
      <c r="I16" s="47"/>
      <c r="J16" s="49">
        <v>2838920</v>
      </c>
      <c r="K16" s="21"/>
      <c r="L16" s="19">
        <f>146686.41+520384.87</f>
        <v>667071.28</v>
      </c>
      <c r="M16" s="21">
        <f>J16-L16</f>
        <v>2171848.7199999997</v>
      </c>
    </row>
    <row r="17" spans="1:13" ht="48.75" customHeight="1" x14ac:dyDescent="0.25">
      <c r="A17" s="95" t="s">
        <v>128</v>
      </c>
      <c r="B17" s="95" t="s">
        <v>63</v>
      </c>
      <c r="C17" s="92" t="s">
        <v>163</v>
      </c>
      <c r="D17" s="44" t="s">
        <v>164</v>
      </c>
      <c r="E17" s="46"/>
      <c r="F17" s="46"/>
      <c r="G17" s="46"/>
      <c r="H17" s="47" t="s">
        <v>181</v>
      </c>
      <c r="I17" s="47"/>
      <c r="J17" s="54" t="s">
        <v>153</v>
      </c>
      <c r="K17" s="21"/>
      <c r="L17" s="19">
        <v>0</v>
      </c>
      <c r="M17" s="21">
        <v>0</v>
      </c>
    </row>
    <row r="18" spans="1:13" ht="24.75" x14ac:dyDescent="0.25">
      <c r="A18" s="96"/>
      <c r="B18" s="96"/>
      <c r="C18" s="93"/>
      <c r="D18" s="44" t="s">
        <v>165</v>
      </c>
      <c r="E18" s="46"/>
      <c r="F18" s="46"/>
      <c r="G18" s="46"/>
      <c r="H18" s="47" t="s">
        <v>181</v>
      </c>
      <c r="I18" s="47"/>
      <c r="J18" s="54" t="s">
        <v>153</v>
      </c>
      <c r="K18" s="21"/>
      <c r="L18" s="19">
        <v>1341038</v>
      </c>
      <c r="M18" s="21">
        <v>1856699</v>
      </c>
    </row>
    <row r="19" spans="1:13" ht="24.75" x14ac:dyDescent="0.25">
      <c r="A19" s="96"/>
      <c r="B19" s="96"/>
      <c r="C19" s="93"/>
      <c r="D19" s="44" t="s">
        <v>166</v>
      </c>
      <c r="E19" s="46"/>
      <c r="F19" s="46"/>
      <c r="G19" s="46"/>
      <c r="H19" s="47" t="s">
        <v>181</v>
      </c>
      <c r="I19" s="47"/>
      <c r="J19" s="54" t="s">
        <v>153</v>
      </c>
      <c r="K19" s="21"/>
      <c r="L19" s="19">
        <v>244921.25</v>
      </c>
      <c r="M19" s="21">
        <v>0</v>
      </c>
    </row>
    <row r="20" spans="1:13" ht="24.75" x14ac:dyDescent="0.25">
      <c r="A20" s="96"/>
      <c r="B20" s="96"/>
      <c r="C20" s="93"/>
      <c r="D20" s="44" t="s">
        <v>167</v>
      </c>
      <c r="E20" s="46"/>
      <c r="F20" s="46"/>
      <c r="G20" s="46"/>
      <c r="H20" s="47" t="s">
        <v>181</v>
      </c>
      <c r="I20" s="47"/>
      <c r="J20" s="54" t="s">
        <v>153</v>
      </c>
      <c r="K20" s="21"/>
      <c r="L20" s="19"/>
      <c r="M20" s="21">
        <v>0</v>
      </c>
    </row>
    <row r="21" spans="1:13" ht="24.75" x14ac:dyDescent="0.25">
      <c r="A21" s="97"/>
      <c r="B21" s="97"/>
      <c r="C21" s="94"/>
      <c r="D21" s="44" t="s">
        <v>168</v>
      </c>
      <c r="E21" s="46"/>
      <c r="F21" s="46"/>
      <c r="G21" s="46"/>
      <c r="H21" s="47" t="s">
        <v>181</v>
      </c>
      <c r="I21" s="47"/>
      <c r="J21" s="54" t="s">
        <v>153</v>
      </c>
      <c r="K21" s="21"/>
      <c r="L21" s="19"/>
      <c r="M21" s="21">
        <v>0</v>
      </c>
    </row>
    <row r="22" spans="1:13" ht="24.75" x14ac:dyDescent="0.25">
      <c r="A22" s="2" t="s">
        <v>128</v>
      </c>
      <c r="B22" s="2" t="s">
        <v>63</v>
      </c>
      <c r="C22" s="17" t="s">
        <v>169</v>
      </c>
      <c r="D22" s="44" t="s">
        <v>170</v>
      </c>
      <c r="E22" s="46"/>
      <c r="F22" s="46"/>
      <c r="G22" s="46"/>
      <c r="H22" s="47" t="s">
        <v>181</v>
      </c>
      <c r="I22" s="47"/>
      <c r="J22" s="49">
        <v>1846800</v>
      </c>
      <c r="K22" s="21"/>
      <c r="L22" s="19">
        <v>104650</v>
      </c>
      <c r="M22" s="21">
        <f>J22-L22</f>
        <v>1742150</v>
      </c>
    </row>
    <row r="23" spans="1:13" ht="24.75" x14ac:dyDescent="0.25">
      <c r="A23" s="2" t="s">
        <v>128</v>
      </c>
      <c r="B23" s="2" t="s">
        <v>63</v>
      </c>
      <c r="C23" s="17" t="s">
        <v>171</v>
      </c>
      <c r="D23" s="44" t="s">
        <v>172</v>
      </c>
      <c r="E23" s="46"/>
      <c r="F23" s="46"/>
      <c r="G23" s="46"/>
      <c r="H23" s="47" t="s">
        <v>181</v>
      </c>
      <c r="I23" s="47"/>
      <c r="J23" s="49"/>
      <c r="K23" s="21"/>
      <c r="L23" s="19"/>
      <c r="M23" s="21"/>
    </row>
    <row r="24" spans="1:13" x14ac:dyDescent="0.25">
      <c r="A24" s="2"/>
      <c r="B24" s="2"/>
      <c r="C24" s="17"/>
      <c r="D24" s="44"/>
      <c r="E24" s="46"/>
      <c r="F24" s="46"/>
      <c r="G24" s="46"/>
      <c r="H24" s="47"/>
      <c r="I24" s="47"/>
      <c r="J24" s="49"/>
      <c r="K24" s="21"/>
      <c r="L24" s="19"/>
      <c r="M24" s="21"/>
    </row>
    <row r="25" spans="1:13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6">
        <f t="shared" ref="J25:M25" si="1">SUM(J2:J12)</f>
        <v>48220400.990000002</v>
      </c>
      <c r="K25" s="56">
        <f t="shared" si="1"/>
        <v>0</v>
      </c>
      <c r="L25" s="56">
        <f t="shared" si="1"/>
        <v>81785017.150000006</v>
      </c>
      <c r="M25" s="56">
        <f t="shared" si="1"/>
        <v>1670029.56</v>
      </c>
    </row>
  </sheetData>
  <mergeCells count="3">
    <mergeCell ref="C17:C21"/>
    <mergeCell ref="B17:B21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</vt:lpstr>
      <vt:lpstr>Operational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Fundi Cebekhulu</dc:creator>
  <cp:lastModifiedBy>Nobuhle Mthonti</cp:lastModifiedBy>
  <dcterms:created xsi:type="dcterms:W3CDTF">2019-08-13T09:08:57Z</dcterms:created>
  <dcterms:modified xsi:type="dcterms:W3CDTF">2019-09-16T09:05:09Z</dcterms:modified>
</cp:coreProperties>
</file>