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u.UMTSHEZI\Documents\Policies KZ237\Draft policies 2018-19\"/>
    </mc:Choice>
  </mc:AlternateContent>
  <bookViews>
    <workbookView xWindow="480" yWindow="120" windowWidth="11355" windowHeight="870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13" i="1" l="1"/>
  <c r="I8" i="1"/>
  <c r="P30" i="1"/>
  <c r="R30" i="1" s="1"/>
  <c r="L30" i="1"/>
  <c r="V25" i="1"/>
  <c r="K28" i="1"/>
  <c r="I28" i="1"/>
  <c r="P28" i="1" s="1"/>
  <c r="R28" i="1" s="1"/>
  <c r="L26" i="1"/>
  <c r="I26" i="1"/>
  <c r="P26" i="1" s="1"/>
  <c r="R26" i="1" s="1"/>
  <c r="V26" i="1" s="1"/>
  <c r="K24" i="1"/>
  <c r="I24" i="1"/>
  <c r="K22" i="1"/>
  <c r="I22" i="1"/>
  <c r="K20" i="1"/>
  <c r="I20" i="1"/>
  <c r="K19" i="1"/>
  <c r="I19" i="1"/>
  <c r="K4" i="1"/>
  <c r="K3" i="1"/>
  <c r="I4" i="1"/>
  <c r="I3" i="1"/>
  <c r="V30" i="1" l="1"/>
  <c r="W30" i="1" s="1"/>
  <c r="L28" i="1"/>
  <c r="W28" i="1"/>
  <c r="V28" i="1"/>
  <c r="W26" i="1"/>
  <c r="L22" i="1" l="1"/>
  <c r="N22" i="1" s="1"/>
  <c r="P22" i="1" s="1"/>
  <c r="L16" i="1"/>
  <c r="L4" i="1"/>
  <c r="L5" i="1"/>
  <c r="L6" i="1"/>
  <c r="L7" i="1"/>
  <c r="L8" i="1"/>
  <c r="L9" i="1"/>
  <c r="L10" i="1"/>
  <c r="L11" i="1"/>
  <c r="L12" i="1"/>
  <c r="L13" i="1"/>
  <c r="L14" i="1"/>
  <c r="L15" i="1"/>
  <c r="L17" i="1"/>
  <c r="L18" i="1"/>
  <c r="L19" i="1"/>
  <c r="L20" i="1"/>
  <c r="L24" i="1"/>
  <c r="L3" i="1"/>
  <c r="P23" i="1"/>
  <c r="P24" i="1"/>
  <c r="M20" i="1"/>
  <c r="P20" i="1" s="1"/>
  <c r="R20" i="1" s="1"/>
  <c r="W6" i="1"/>
  <c r="W18" i="1"/>
  <c r="W21" i="1"/>
  <c r="W23" i="1"/>
  <c r="M5" i="1"/>
  <c r="O5" i="1" s="1"/>
  <c r="L32" i="1" l="1"/>
  <c r="V20" i="1"/>
  <c r="P5" i="1"/>
  <c r="R5" i="1" s="1"/>
  <c r="W20" i="1" l="1"/>
  <c r="V5" i="1"/>
  <c r="T32" i="1"/>
  <c r="W5" i="1" l="1"/>
  <c r="K13" i="1"/>
  <c r="F7" i="1"/>
  <c r="F8" i="1"/>
  <c r="F9" i="1"/>
  <c r="F10" i="1"/>
  <c r="F11" i="1"/>
  <c r="F12" i="1"/>
  <c r="F13" i="1"/>
  <c r="F14" i="1"/>
  <c r="F15" i="1"/>
  <c r="F16" i="1"/>
  <c r="F17" i="1"/>
  <c r="F19" i="1"/>
  <c r="F22" i="1"/>
  <c r="F24" i="1"/>
  <c r="Y31" i="1" l="1"/>
  <c r="Y12" i="1" l="1"/>
  <c r="Y18" i="1"/>
  <c r="Y21" i="1"/>
  <c r="Y23" i="1"/>
  <c r="Y25" i="1"/>
  <c r="Y26" i="1"/>
  <c r="Y29" i="1"/>
  <c r="K16" i="1" l="1"/>
  <c r="K7" i="1"/>
  <c r="K8" i="1"/>
  <c r="K9" i="1"/>
  <c r="S3" i="1" l="1"/>
  <c r="S32" i="1" l="1"/>
  <c r="Y6" i="1"/>
  <c r="I32" i="1"/>
  <c r="J32" i="1"/>
  <c r="K32" i="1"/>
  <c r="M4" i="1" l="1"/>
  <c r="P4" i="1" s="1"/>
  <c r="M7" i="1"/>
  <c r="P7" i="1" s="1"/>
  <c r="M8" i="1"/>
  <c r="P8" i="1" s="1"/>
  <c r="M9" i="1"/>
  <c r="P9" i="1" s="1"/>
  <c r="M10" i="1"/>
  <c r="P10" i="1" s="1"/>
  <c r="M11" i="1"/>
  <c r="P11" i="1" s="1"/>
  <c r="M13" i="1"/>
  <c r="P13" i="1" s="1"/>
  <c r="R13" i="1" s="1"/>
  <c r="M14" i="1"/>
  <c r="P14" i="1" s="1"/>
  <c r="M15" i="1"/>
  <c r="P15" i="1" s="1"/>
  <c r="M16" i="1"/>
  <c r="P16" i="1" s="1"/>
  <c r="M17" i="1"/>
  <c r="P17" i="1" s="1"/>
  <c r="M18" i="1"/>
  <c r="M19" i="1"/>
  <c r="P19" i="1" s="1"/>
  <c r="M24" i="1"/>
  <c r="M3" i="1"/>
  <c r="O3" i="1" l="1"/>
  <c r="R4" i="1"/>
  <c r="O4" i="1"/>
  <c r="P3" i="1"/>
  <c r="M32" i="1"/>
  <c r="R7" i="1"/>
  <c r="R8" i="1"/>
  <c r="R9" i="1"/>
  <c r="R10" i="1"/>
  <c r="R11" i="1"/>
  <c r="R14" i="1"/>
  <c r="R15" i="1"/>
  <c r="R16" i="1"/>
  <c r="R17" i="1"/>
  <c r="R19" i="1"/>
  <c r="V19" i="1" s="1"/>
  <c r="R22" i="1"/>
  <c r="R24" i="1"/>
  <c r="V24" i="1" s="1"/>
  <c r="O32" i="1" l="1"/>
  <c r="V7" i="1"/>
  <c r="W19" i="1"/>
  <c r="W24" i="1"/>
  <c r="V4" i="1"/>
  <c r="Y22" i="1"/>
  <c r="W22" i="1"/>
  <c r="V14" i="1"/>
  <c r="V9" i="1"/>
  <c r="V17" i="1"/>
  <c r="V13" i="1"/>
  <c r="V8" i="1"/>
  <c r="V16" i="1"/>
  <c r="V11" i="1"/>
  <c r="V15" i="1"/>
  <c r="V10" i="1"/>
  <c r="P32" i="1"/>
  <c r="Q32" i="1"/>
  <c r="W16" i="1" l="1"/>
  <c r="W4" i="1"/>
  <c r="W8" i="1"/>
  <c r="W15" i="1"/>
  <c r="W13" i="1"/>
  <c r="W9" i="1"/>
  <c r="W10" i="1"/>
  <c r="W14" i="1"/>
  <c r="W11" i="1"/>
  <c r="W17" i="1"/>
  <c r="W7" i="1"/>
  <c r="Y19" i="1"/>
  <c r="Y24" i="1"/>
  <c r="Y4" i="1"/>
  <c r="Y11" i="1"/>
  <c r="Y8" i="1"/>
  <c r="Y9" i="1"/>
  <c r="Y14" i="1"/>
  <c r="Y17" i="1"/>
  <c r="Y16" i="1"/>
  <c r="Y15" i="1"/>
  <c r="Y10" i="1"/>
  <c r="Y13" i="1"/>
  <c r="Y7" i="1"/>
  <c r="M20" i="2"/>
  <c r="M21" i="2"/>
  <c r="M22" i="2"/>
  <c r="M9" i="2"/>
  <c r="M10" i="2"/>
  <c r="M11" i="2"/>
  <c r="M12" i="2"/>
  <c r="M14" i="2"/>
  <c r="M15" i="2"/>
  <c r="M16" i="2"/>
  <c r="M17" i="2"/>
  <c r="M18" i="2"/>
  <c r="F24" i="2"/>
  <c r="O24" i="2" s="1"/>
  <c r="F22" i="2"/>
  <c r="F20" i="2"/>
  <c r="F18" i="2"/>
  <c r="F17" i="2"/>
  <c r="F16" i="2"/>
  <c r="F15" i="2"/>
  <c r="F14" i="2"/>
  <c r="F13" i="2"/>
  <c r="F12" i="2"/>
  <c r="F11" i="2"/>
  <c r="F10" i="2"/>
  <c r="F9" i="2"/>
  <c r="M8" i="2"/>
  <c r="F8" i="2"/>
  <c r="O6" i="2"/>
  <c r="O5" i="2"/>
  <c r="O12" i="2" l="1"/>
  <c r="O10" i="2"/>
  <c r="O17" i="2"/>
  <c r="O15" i="2"/>
  <c r="O8" i="2"/>
  <c r="O18" i="2"/>
  <c r="O16" i="2"/>
  <c r="O11" i="2"/>
  <c r="O9" i="2"/>
  <c r="O22" i="2"/>
  <c r="O20" i="2"/>
  <c r="O14" i="2"/>
  <c r="X4" i="1"/>
  <c r="O26" i="2" l="1"/>
  <c r="O27" i="2" s="1"/>
  <c r="X8" i="1"/>
  <c r="X7" i="1"/>
  <c r="X11" i="1"/>
  <c r="X10" i="1"/>
  <c r="X9" i="1"/>
  <c r="X24" i="1"/>
  <c r="X22" i="1"/>
  <c r="X16" i="1"/>
  <c r="X15" i="1"/>
  <c r="X14" i="1"/>
  <c r="X13" i="1"/>
  <c r="X17" i="1"/>
  <c r="X19" i="1"/>
  <c r="R3" i="1"/>
  <c r="V3" i="1" l="1"/>
  <c r="V32" i="1" s="1"/>
  <c r="R32" i="1"/>
  <c r="X3" i="1"/>
  <c r="W3" i="1" l="1"/>
  <c r="Y3" i="1"/>
  <c r="Y32" i="1" s="1"/>
  <c r="X26" i="1"/>
  <c r="X29" i="1" s="1"/>
  <c r="X32" i="1"/>
  <c r="W32" i="1" l="1"/>
</calcChain>
</file>

<file path=xl/sharedStrings.xml><?xml version="1.0" encoding="utf-8"?>
<sst xmlns="http://schemas.openxmlformats.org/spreadsheetml/2006/main" count="102" uniqueCount="40">
  <si>
    <t>EXAMPLES</t>
  </si>
  <si>
    <t>Category</t>
  </si>
  <si>
    <t>Value of property</t>
  </si>
  <si>
    <t>Rebate</t>
  </si>
  <si>
    <t>Impermissable</t>
  </si>
  <si>
    <t>Randages</t>
  </si>
  <si>
    <t>Residential</t>
  </si>
  <si>
    <t>% Increase</t>
  </si>
  <si>
    <t>Commercial</t>
  </si>
  <si>
    <t>Industrial</t>
  </si>
  <si>
    <t>Rates per annum</t>
  </si>
  <si>
    <t>Residential - Hospitality</t>
  </si>
  <si>
    <t>Agricultural</t>
  </si>
  <si>
    <t>Public Service Infrastr</t>
  </si>
  <si>
    <t>Industrial 0-1m</t>
  </si>
  <si>
    <t>Industrial &gt;1-2m</t>
  </si>
  <si>
    <t>Industrial &gt;2-5m</t>
  </si>
  <si>
    <t>Industrial &gt;5-36m</t>
  </si>
  <si>
    <t>Industrial &gt;36m</t>
  </si>
  <si>
    <t>Commercial 0-1.5m</t>
  </si>
  <si>
    <t>Commercial &gt;1.5-2.5m</t>
  </si>
  <si>
    <t>Commercial &gt;2.5-7.5m</t>
  </si>
  <si>
    <t>Commercial &gt;7.5-10m</t>
  </si>
  <si>
    <t>Commercial &gt;10m</t>
  </si>
  <si>
    <t>State Owned</t>
  </si>
  <si>
    <t xml:space="preserve">2013/2014 FINANCIAL YEAR </t>
  </si>
  <si>
    <t xml:space="preserve"> </t>
  </si>
  <si>
    <t>no of properties</t>
  </si>
  <si>
    <t>Rebate Percent</t>
  </si>
  <si>
    <t>Residential - Informal</t>
  </si>
  <si>
    <t>total Impermissable</t>
  </si>
  <si>
    <t>Rateable</t>
  </si>
  <si>
    <t>Impermissable randage value</t>
  </si>
  <si>
    <t>Rates before Rebate</t>
  </si>
  <si>
    <t>Agricultural-Small Holding</t>
  </si>
  <si>
    <t>Ratable before Imperissable</t>
  </si>
  <si>
    <t>phasing Out 80%</t>
  </si>
  <si>
    <t>Public Benefit Organization</t>
  </si>
  <si>
    <t>Communal Property Association</t>
  </si>
  <si>
    <t>Recreational Clubs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</si>
</sst>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0.0%"/>
  </numFmts>
  <fonts count="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9" fontId="3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0" fontId="0" fillId="0" borderId="0" xfId="0" applyNumberFormat="1"/>
    <xf numFmtId="2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 horizontal="center" wrapText="1"/>
    </xf>
    <xf numFmtId="4" fontId="0" fillId="0" borderId="0" xfId="0" applyNumberFormat="1"/>
    <xf numFmtId="164" fontId="0" fillId="0" borderId="0" xfId="0" applyNumberFormat="1"/>
    <xf numFmtId="0" fontId="2" fillId="0" borderId="0" xfId="0" applyFont="1"/>
    <xf numFmtId="9" fontId="0" fillId="0" borderId="0" xfId="0" applyNumberFormat="1"/>
    <xf numFmtId="4" fontId="0" fillId="0" borderId="0" xfId="0" applyNumberFormat="1" applyAlignment="1">
      <alignment horizontal="center" wrapText="1"/>
    </xf>
    <xf numFmtId="0" fontId="0" fillId="0" borderId="0" xfId="0"/>
    <xf numFmtId="10" fontId="0" fillId="0" borderId="0" xfId="0" applyNumberFormat="1"/>
    <xf numFmtId="3" fontId="0" fillId="0" borderId="0" xfId="0" applyNumberFormat="1"/>
    <xf numFmtId="4" fontId="0" fillId="0" borderId="0" xfId="0" applyNumberFormat="1"/>
    <xf numFmtId="164" fontId="0" fillId="0" borderId="0" xfId="0" applyNumberFormat="1"/>
    <xf numFmtId="0" fontId="2" fillId="0" borderId="0" xfId="0" applyFont="1"/>
    <xf numFmtId="0" fontId="2" fillId="0" borderId="0" xfId="1"/>
    <xf numFmtId="3" fontId="2" fillId="0" borderId="0" xfId="1" applyNumberFormat="1"/>
    <xf numFmtId="4" fontId="2" fillId="0" borderId="0" xfId="1" applyNumberFormat="1"/>
    <xf numFmtId="164" fontId="2" fillId="0" borderId="0" xfId="1" applyNumberFormat="1"/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4" fontId="0" fillId="2" borderId="1" xfId="0" applyNumberFormat="1" applyFill="1" applyBorder="1"/>
    <xf numFmtId="4" fontId="0" fillId="0" borderId="1" xfId="0" applyNumberFormat="1" applyFill="1" applyBorder="1"/>
    <xf numFmtId="4" fontId="2" fillId="0" borderId="0" xfId="0" applyNumberFormat="1" applyFont="1"/>
    <xf numFmtId="165" fontId="0" fillId="0" borderId="0" xfId="2" applyNumberFormat="1" applyFont="1"/>
    <xf numFmtId="165" fontId="2" fillId="0" borderId="0" xfId="2" applyNumberFormat="1" applyFont="1"/>
    <xf numFmtId="165" fontId="0" fillId="0" borderId="1" xfId="2" applyNumberFormat="1" applyFont="1" applyBorder="1"/>
    <xf numFmtId="0" fontId="4" fillId="0" borderId="0" xfId="0" applyFont="1"/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/>
    </xf>
    <xf numFmtId="165" fontId="4" fillId="0" borderId="0" xfId="2" applyNumberFormat="1" applyFont="1" applyAlignment="1">
      <alignment horizontal="center"/>
    </xf>
    <xf numFmtId="4" fontId="4" fillId="0" borderId="0" xfId="0" applyNumberFormat="1" applyFont="1"/>
    <xf numFmtId="10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wrapText="1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tabSelected="1" topLeftCell="H1" workbookViewId="0">
      <pane xSplit="1" ySplit="2" topLeftCell="N3" activePane="bottomRight" state="frozen"/>
      <selection activeCell="H1" sqref="H1"/>
      <selection pane="topRight" activeCell="I1" sqref="I1"/>
      <selection pane="bottomLeft" activeCell="H3" sqref="H3"/>
      <selection pane="bottomRight" activeCell="P1" sqref="P1"/>
    </sheetView>
  </sheetViews>
  <sheetFormatPr defaultRowHeight="12.75" x14ac:dyDescent="0.2"/>
  <cols>
    <col min="1" max="1" width="20.85546875" hidden="1" customWidth="1"/>
    <col min="2" max="2" width="13.5703125" style="5" hidden="1" customWidth="1"/>
    <col min="3" max="3" width="11" style="5" hidden="1" customWidth="1"/>
    <col min="4" max="4" width="8.85546875" hidden="1" customWidth="1"/>
    <col min="5" max="5" width="13.5703125" hidden="1" customWidth="1"/>
    <col min="6" max="6" width="13.28515625" hidden="1" customWidth="1"/>
    <col min="7" max="7" width="3.42578125" hidden="1" customWidth="1"/>
    <col min="8" max="8" width="26.85546875" customWidth="1"/>
    <col min="9" max="9" width="17.85546875" style="9" customWidth="1"/>
    <col min="10" max="10" width="13.85546875" style="17" customWidth="1"/>
    <col min="11" max="15" width="13.85546875" style="14" customWidth="1"/>
    <col min="16" max="16" width="16.7109375" style="14" customWidth="1"/>
    <col min="17" max="17" width="14" customWidth="1"/>
    <col min="18" max="18" width="18.5703125" style="17" customWidth="1"/>
    <col min="19" max="19" width="10.28515625" hidden="1" customWidth="1"/>
    <col min="20" max="20" width="10.28515625" style="14" hidden="1" customWidth="1"/>
    <col min="21" max="21" width="14" style="30" customWidth="1"/>
    <col min="22" max="22" width="18.5703125" style="17" customWidth="1"/>
    <col min="23" max="23" width="15.140625" style="17" customWidth="1"/>
    <col min="24" max="24" width="11.28515625" style="3" hidden="1" customWidth="1"/>
    <col min="25" max="25" width="12.7109375" hidden="1" customWidth="1"/>
  </cols>
  <sheetData>
    <row r="1" spans="1:25" s="33" customFormat="1" ht="38.25" x14ac:dyDescent="0.2">
      <c r="A1" s="33" t="s">
        <v>1</v>
      </c>
      <c r="B1" s="34" t="s">
        <v>2</v>
      </c>
      <c r="C1" s="35" t="s">
        <v>4</v>
      </c>
      <c r="D1" s="36" t="s">
        <v>3</v>
      </c>
      <c r="E1" s="33" t="s">
        <v>5</v>
      </c>
      <c r="F1" s="37" t="s">
        <v>10</v>
      </c>
      <c r="H1" s="33" t="s">
        <v>1</v>
      </c>
      <c r="I1" s="38" t="s">
        <v>2</v>
      </c>
      <c r="J1" s="43" t="s">
        <v>4</v>
      </c>
      <c r="K1" s="37" t="s">
        <v>27</v>
      </c>
      <c r="L1" s="37" t="s">
        <v>35</v>
      </c>
      <c r="M1" s="37" t="s">
        <v>30</v>
      </c>
      <c r="N1" s="37" t="s">
        <v>36</v>
      </c>
      <c r="O1" s="37" t="s">
        <v>32</v>
      </c>
      <c r="P1" s="37" t="s">
        <v>31</v>
      </c>
      <c r="Q1" s="33" t="s">
        <v>5</v>
      </c>
      <c r="R1" s="39" t="s">
        <v>33</v>
      </c>
      <c r="S1" s="36" t="s">
        <v>3</v>
      </c>
      <c r="T1" s="36"/>
      <c r="U1" s="40" t="s">
        <v>28</v>
      </c>
      <c r="V1" s="39" t="s">
        <v>3</v>
      </c>
      <c r="W1" s="41"/>
      <c r="X1" s="42" t="s">
        <v>7</v>
      </c>
    </row>
    <row r="2" spans="1:25" x14ac:dyDescent="0.2">
      <c r="S2" s="10"/>
      <c r="T2" s="18"/>
    </row>
    <row r="3" spans="1:25" x14ac:dyDescent="0.2">
      <c r="A3" s="20" t="s">
        <v>6</v>
      </c>
      <c r="B3" s="21">
        <v>1652717120</v>
      </c>
      <c r="C3" s="21">
        <v>30000</v>
      </c>
      <c r="D3" s="23">
        <v>0.55837000000000003</v>
      </c>
      <c r="E3" s="20">
        <v>1.8894999999999999E-2</v>
      </c>
      <c r="F3" s="22">
        <v>13791011.040961809</v>
      </c>
      <c r="G3" s="20"/>
      <c r="H3" s="20" t="s">
        <v>6</v>
      </c>
      <c r="I3" s="22">
        <f>1792276500+6865000+75510000</f>
        <v>1874651500</v>
      </c>
      <c r="J3" s="22">
        <v>30000</v>
      </c>
      <c r="K3" s="21">
        <f>7746+192+14</f>
        <v>7952</v>
      </c>
      <c r="L3" s="21">
        <f t="shared" ref="L3:L20" si="0">I3*Q3</f>
        <v>37901047.898975</v>
      </c>
      <c r="M3" s="21">
        <f>K3*J3</f>
        <v>238560000</v>
      </c>
      <c r="N3" s="21"/>
      <c r="O3" s="21">
        <f>M3*Q3</f>
        <v>4823122.5839999998</v>
      </c>
      <c r="P3" s="21">
        <f>I3-M3</f>
        <v>1636091500</v>
      </c>
      <c r="Q3" s="20">
        <v>2.021765E-2</v>
      </c>
      <c r="R3" s="22">
        <f>P3*Q3</f>
        <v>33077925.314975001</v>
      </c>
      <c r="S3" s="23">
        <f>54.075%</f>
        <v>0.54075000000000006</v>
      </c>
      <c r="T3" s="23">
        <v>0.05</v>
      </c>
      <c r="U3" s="31">
        <v>0.39500000000000002</v>
      </c>
      <c r="V3" s="22">
        <f>R3*U3</f>
        <v>13065780.499415126</v>
      </c>
      <c r="W3" s="22">
        <f t="shared" ref="W3:W11" si="1">R3-V3</f>
        <v>20012144.815559875</v>
      </c>
      <c r="X3" s="15" t="e">
        <f>SUM(#REF!-F3)/F3</f>
        <v>#REF!</v>
      </c>
      <c r="Y3" s="17">
        <f>R3-V3-O3</f>
        <v>15189022.231559876</v>
      </c>
    </row>
    <row r="4" spans="1:25" x14ac:dyDescent="0.2">
      <c r="A4" s="14" t="s">
        <v>11</v>
      </c>
      <c r="B4" s="16">
        <v>26323000</v>
      </c>
      <c r="C4" s="16">
        <v>30000</v>
      </c>
      <c r="D4" s="18">
        <v>0.55837000000000003</v>
      </c>
      <c r="E4" s="14">
        <v>1.8894999999999999E-2</v>
      </c>
      <c r="F4" s="17">
        <v>203159.66071463999</v>
      </c>
      <c r="G4" s="14"/>
      <c r="H4" s="19" t="s">
        <v>11</v>
      </c>
      <c r="I4" s="17">
        <f>27225000+2450000</f>
        <v>29675000</v>
      </c>
      <c r="J4" s="17">
        <v>30000</v>
      </c>
      <c r="K4" s="16">
        <f>14+6</f>
        <v>20</v>
      </c>
      <c r="L4" s="21">
        <f t="shared" si="0"/>
        <v>599958.76375000004</v>
      </c>
      <c r="M4" s="21">
        <f>K4*J4</f>
        <v>600000</v>
      </c>
      <c r="N4" s="21"/>
      <c r="O4" s="21">
        <f>M4*Q4</f>
        <v>12130.59</v>
      </c>
      <c r="P4" s="21">
        <f>I4-M4</f>
        <v>29075000</v>
      </c>
      <c r="Q4" s="20">
        <v>2.021765E-2</v>
      </c>
      <c r="R4" s="22">
        <f>P4*Q4</f>
        <v>587828.17374999996</v>
      </c>
      <c r="S4" s="18">
        <v>0.54074999999999995</v>
      </c>
      <c r="T4" s="23">
        <v>0.05</v>
      </c>
      <c r="U4" s="31">
        <v>0.39500000000000002</v>
      </c>
      <c r="V4" s="22">
        <f>R4*U4</f>
        <v>232192.12863125</v>
      </c>
      <c r="W4" s="22">
        <f t="shared" si="1"/>
        <v>355636.04511874996</v>
      </c>
      <c r="X4" s="15" t="e">
        <f>SUM(#REF!-F4)/F4</f>
        <v>#REF!</v>
      </c>
      <c r="Y4" s="17">
        <f>R4-V4-O4</f>
        <v>343505.45511874993</v>
      </c>
    </row>
    <row r="5" spans="1:25" s="14" customFormat="1" x14ac:dyDescent="0.2">
      <c r="B5" s="16"/>
      <c r="C5" s="16"/>
      <c r="D5" s="18"/>
      <c r="F5" s="17"/>
      <c r="H5" s="19" t="s">
        <v>29</v>
      </c>
      <c r="I5" s="17">
        <v>21938000</v>
      </c>
      <c r="J5" s="17">
        <v>30000</v>
      </c>
      <c r="K5" s="16">
        <v>656</v>
      </c>
      <c r="L5" s="21">
        <f t="shared" si="0"/>
        <v>443534.80570000003</v>
      </c>
      <c r="M5" s="21">
        <f>J5*K5</f>
        <v>19680000</v>
      </c>
      <c r="N5" s="21"/>
      <c r="O5" s="21">
        <f>M5*Q5</f>
        <v>397883.35200000001</v>
      </c>
      <c r="P5" s="21">
        <f>I5-M5</f>
        <v>2258000</v>
      </c>
      <c r="Q5" s="20">
        <v>2.021765E-2</v>
      </c>
      <c r="R5" s="22">
        <f>P5*Q5</f>
        <v>45651.453699999998</v>
      </c>
      <c r="S5" s="18"/>
      <c r="T5" s="23"/>
      <c r="U5" s="31">
        <v>0.39500000000000002</v>
      </c>
      <c r="V5" s="22">
        <f>R5*U5</f>
        <v>18032.324211499999</v>
      </c>
      <c r="W5" s="22">
        <f t="shared" si="1"/>
        <v>27619.129488499999</v>
      </c>
      <c r="X5" s="15"/>
      <c r="Y5" s="17"/>
    </row>
    <row r="6" spans="1:25" x14ac:dyDescent="0.2">
      <c r="D6" s="10"/>
      <c r="F6" s="9"/>
      <c r="L6" s="21">
        <f t="shared" si="0"/>
        <v>0</v>
      </c>
      <c r="M6" s="21"/>
      <c r="N6" s="21"/>
      <c r="O6" s="21"/>
      <c r="P6" s="21"/>
      <c r="Q6" s="20"/>
      <c r="R6" s="22"/>
      <c r="S6" s="10"/>
      <c r="T6" s="23"/>
      <c r="U6" s="31"/>
      <c r="V6" s="22"/>
      <c r="W6" s="22">
        <f t="shared" si="1"/>
        <v>0</v>
      </c>
      <c r="X6" s="15"/>
      <c r="Y6" s="17">
        <f t="shared" ref="Y6:Y19" si="2">R6-V6-O6</f>
        <v>0</v>
      </c>
    </row>
    <row r="7" spans="1:25" x14ac:dyDescent="0.2">
      <c r="A7" s="11" t="s">
        <v>19</v>
      </c>
      <c r="B7" s="5">
        <v>66755000</v>
      </c>
      <c r="C7" s="5">
        <v>0</v>
      </c>
      <c r="D7" s="10">
        <v>0.29659999999999997</v>
      </c>
      <c r="E7">
        <v>3.7260000000000001E-2</v>
      </c>
      <c r="F7" s="9">
        <f t="shared" ref="F7:F17" si="3">((SUM(B7-C7)*E7)-(SUM(B7-C7)*E7)*D7)</f>
        <v>1749560.7004200001</v>
      </c>
      <c r="H7" t="s">
        <v>8</v>
      </c>
      <c r="I7" s="9">
        <v>88003000</v>
      </c>
      <c r="J7" s="17">
        <v>0</v>
      </c>
      <c r="K7" s="16">
        <f>61+5+34+3+27</f>
        <v>130</v>
      </c>
      <c r="L7" s="21">
        <f t="shared" si="0"/>
        <v>3475766.4880000004</v>
      </c>
      <c r="M7" s="21">
        <f>K7*J7</f>
        <v>0</v>
      </c>
      <c r="N7" s="21"/>
      <c r="O7" s="21"/>
      <c r="P7" s="21">
        <f>I7-M7</f>
        <v>88003000</v>
      </c>
      <c r="Q7" s="20">
        <v>3.9496000000000003E-2</v>
      </c>
      <c r="R7" s="22">
        <f>P7*Q7</f>
        <v>3475766.4880000004</v>
      </c>
      <c r="S7" s="10">
        <v>0.35659999999999997</v>
      </c>
      <c r="T7" s="23">
        <v>0.05</v>
      </c>
      <c r="U7" s="31">
        <v>0.115</v>
      </c>
      <c r="V7" s="22">
        <f>R7*U7</f>
        <v>399713.14612000005</v>
      </c>
      <c r="W7" s="22">
        <f t="shared" si="1"/>
        <v>3076053.3418800002</v>
      </c>
      <c r="X7" s="15" t="e">
        <f>SUM(#REF!-F7)/F7</f>
        <v>#REF!</v>
      </c>
      <c r="Y7" s="17">
        <f t="shared" si="2"/>
        <v>3076053.3418800002</v>
      </c>
    </row>
    <row r="8" spans="1:25" x14ac:dyDescent="0.2">
      <c r="A8" s="11" t="s">
        <v>20</v>
      </c>
      <c r="B8" s="5">
        <v>64130000</v>
      </c>
      <c r="C8" s="5">
        <v>0</v>
      </c>
      <c r="D8" s="10">
        <v>0.34684999999999999</v>
      </c>
      <c r="E8">
        <v>3.7260000000000001E-2</v>
      </c>
      <c r="F8" s="9">
        <f t="shared" si="3"/>
        <v>1560691.3439700003</v>
      </c>
      <c r="H8" t="s">
        <v>8</v>
      </c>
      <c r="I8" s="9">
        <f>56419000+55085000</f>
        <v>111504000</v>
      </c>
      <c r="J8" s="17">
        <v>0</v>
      </c>
      <c r="K8" s="16">
        <f>25+3+1</f>
        <v>29</v>
      </c>
      <c r="L8" s="21">
        <f t="shared" si="0"/>
        <v>4154639.04</v>
      </c>
      <c r="M8" s="21">
        <f>K8*J8</f>
        <v>0</v>
      </c>
      <c r="N8" s="21"/>
      <c r="O8" s="21"/>
      <c r="P8" s="21">
        <f>I8-M8</f>
        <v>111504000</v>
      </c>
      <c r="Q8" s="20">
        <v>3.7260000000000001E-2</v>
      </c>
      <c r="R8" s="22">
        <f>P8*Q8</f>
        <v>4154639.04</v>
      </c>
      <c r="S8" s="10">
        <v>0.25685000000000002</v>
      </c>
      <c r="T8" s="23">
        <v>0.05</v>
      </c>
      <c r="U8" s="31">
        <v>0.105</v>
      </c>
      <c r="V8" s="22">
        <f>R8*U8</f>
        <v>436237.0992</v>
      </c>
      <c r="W8" s="22">
        <f t="shared" si="1"/>
        <v>3718401.9408</v>
      </c>
      <c r="X8" s="15" t="e">
        <f>SUM(#REF!-F8)/F8</f>
        <v>#REF!</v>
      </c>
      <c r="Y8" s="17">
        <f t="shared" si="2"/>
        <v>3718401.9408</v>
      </c>
    </row>
    <row r="9" spans="1:25" x14ac:dyDescent="0.2">
      <c r="A9" s="11" t="s">
        <v>21</v>
      </c>
      <c r="B9" s="5">
        <v>132043000</v>
      </c>
      <c r="C9" s="5">
        <v>0</v>
      </c>
      <c r="D9" s="10">
        <v>0.24635000000000001</v>
      </c>
      <c r="E9">
        <v>3.7260000000000001E-2</v>
      </c>
      <c r="F9" s="9">
        <f t="shared" si="3"/>
        <v>3707899.3509570006</v>
      </c>
      <c r="H9" t="s">
        <v>8</v>
      </c>
      <c r="I9" s="9">
        <v>141851000</v>
      </c>
      <c r="J9" s="17">
        <v>0</v>
      </c>
      <c r="K9" s="16">
        <f>37+1</f>
        <v>38</v>
      </c>
      <c r="L9" s="21">
        <f t="shared" si="0"/>
        <v>5285368.26</v>
      </c>
      <c r="M9" s="21">
        <f>K9*J9</f>
        <v>0</v>
      </c>
      <c r="N9" s="21"/>
      <c r="O9" s="21"/>
      <c r="P9" s="21">
        <f>I9-M9</f>
        <v>141851000</v>
      </c>
      <c r="Q9" s="20">
        <v>3.7260000000000001E-2</v>
      </c>
      <c r="R9" s="22">
        <f>P9*Q9</f>
        <v>5285368.26</v>
      </c>
      <c r="S9" s="10">
        <v>0.29635</v>
      </c>
      <c r="T9" s="23">
        <v>0.05</v>
      </c>
      <c r="U9" s="31">
        <v>0.17</v>
      </c>
      <c r="V9" s="22">
        <f>R9*U9</f>
        <v>898512.60420000006</v>
      </c>
      <c r="W9" s="22">
        <f t="shared" si="1"/>
        <v>4386855.6557999998</v>
      </c>
      <c r="X9" s="3" t="e">
        <f>SUM(#REF!-F9)/F9</f>
        <v>#REF!</v>
      </c>
      <c r="Y9" s="17">
        <f t="shared" si="2"/>
        <v>4386855.6557999998</v>
      </c>
    </row>
    <row r="10" spans="1:25" x14ac:dyDescent="0.2">
      <c r="A10" s="11" t="s">
        <v>22</v>
      </c>
      <c r="B10" s="5">
        <v>32703000</v>
      </c>
      <c r="C10" s="5">
        <v>0</v>
      </c>
      <c r="D10" s="10">
        <v>0.26650000000000001</v>
      </c>
      <c r="E10">
        <v>3.7260000000000001E-2</v>
      </c>
      <c r="F10" s="9">
        <f t="shared" si="3"/>
        <v>893779.85762999998</v>
      </c>
      <c r="H10" t="s">
        <v>8</v>
      </c>
      <c r="I10" s="9">
        <v>41497000</v>
      </c>
      <c r="J10" s="17">
        <v>0</v>
      </c>
      <c r="K10" s="16">
        <v>4</v>
      </c>
      <c r="L10" s="21">
        <f t="shared" si="0"/>
        <v>1546178.22</v>
      </c>
      <c r="M10" s="21">
        <f>K10*J10</f>
        <v>0</v>
      </c>
      <c r="N10" s="21"/>
      <c r="O10" s="21"/>
      <c r="P10" s="21">
        <f>I10-M10</f>
        <v>41497000</v>
      </c>
      <c r="Q10" s="20">
        <v>3.7260000000000001E-2</v>
      </c>
      <c r="R10" s="22">
        <f>P10*Q10</f>
        <v>1546178.22</v>
      </c>
      <c r="S10" s="10">
        <v>0.23649999999999999</v>
      </c>
      <c r="T10" s="23">
        <v>0.05</v>
      </c>
      <c r="U10" s="31">
        <v>0.26300000000000001</v>
      </c>
      <c r="V10" s="22">
        <f>R10*U10</f>
        <v>406644.87186000001</v>
      </c>
      <c r="W10" s="22">
        <f t="shared" si="1"/>
        <v>1139533.3481399999</v>
      </c>
      <c r="X10" s="3" t="e">
        <f>SUM(#REF!-F10)/F10</f>
        <v>#REF!</v>
      </c>
      <c r="Y10" s="17">
        <f t="shared" si="2"/>
        <v>1139533.3481399999</v>
      </c>
    </row>
    <row r="11" spans="1:25" x14ac:dyDescent="0.2">
      <c r="A11" s="11" t="s">
        <v>23</v>
      </c>
      <c r="B11" s="5">
        <v>74557000</v>
      </c>
      <c r="C11" s="5">
        <v>0</v>
      </c>
      <c r="D11" s="10">
        <v>0.22120999999999999</v>
      </c>
      <c r="E11">
        <v>3.7260000000000001E-2</v>
      </c>
      <c r="F11" s="9">
        <f t="shared" si="3"/>
        <v>2163473.8070778004</v>
      </c>
      <c r="H11" t="s">
        <v>8</v>
      </c>
      <c r="I11" s="9">
        <v>151300000</v>
      </c>
      <c r="J11" s="17">
        <v>0</v>
      </c>
      <c r="K11" s="16">
        <v>8</v>
      </c>
      <c r="L11" s="21">
        <f t="shared" si="0"/>
        <v>5186412.6999999993</v>
      </c>
      <c r="M11" s="21">
        <f>K11*J11</f>
        <v>0</v>
      </c>
      <c r="N11" s="21"/>
      <c r="O11" s="21"/>
      <c r="P11" s="21">
        <f>I11-M11</f>
        <v>151300000</v>
      </c>
      <c r="Q11" s="20">
        <v>3.4278999999999997E-2</v>
      </c>
      <c r="R11" s="22">
        <f>P11*Q11</f>
        <v>5186412.6999999993</v>
      </c>
      <c r="S11" s="10">
        <v>0.45121</v>
      </c>
      <c r="T11" s="23">
        <v>0.05</v>
      </c>
      <c r="U11" s="31">
        <v>9.5000000000000001E-2</v>
      </c>
      <c r="V11" s="22">
        <f>R11*U11</f>
        <v>492709.20649999991</v>
      </c>
      <c r="W11" s="22">
        <f t="shared" si="1"/>
        <v>4693703.4934999989</v>
      </c>
      <c r="X11" s="3" t="e">
        <f>SUM(#REF!-F11)/F11</f>
        <v>#REF!</v>
      </c>
      <c r="Y11" s="17">
        <f t="shared" si="2"/>
        <v>4693703.4934999989</v>
      </c>
    </row>
    <row r="12" spans="1:25" x14ac:dyDescent="0.2">
      <c r="D12" s="10"/>
      <c r="F12" s="9">
        <f t="shared" si="3"/>
        <v>0</v>
      </c>
      <c r="L12" s="21">
        <f t="shared" si="0"/>
        <v>0</v>
      </c>
      <c r="M12" s="21"/>
      <c r="N12" s="21"/>
      <c r="O12" s="21"/>
      <c r="P12" s="21"/>
      <c r="Q12" s="20"/>
      <c r="R12" s="22"/>
      <c r="S12" s="10"/>
      <c r="T12" s="23"/>
      <c r="U12" s="31"/>
      <c r="V12" s="22"/>
      <c r="W12" s="22"/>
      <c r="Y12" s="17">
        <f t="shared" si="2"/>
        <v>0</v>
      </c>
    </row>
    <row r="13" spans="1:25" x14ac:dyDescent="0.2">
      <c r="A13" s="11" t="s">
        <v>14</v>
      </c>
      <c r="B13" s="5">
        <v>29495000</v>
      </c>
      <c r="C13" s="5">
        <v>0</v>
      </c>
      <c r="D13" s="10">
        <v>0.24285999999999999</v>
      </c>
      <c r="E13">
        <v>3.637E-2</v>
      </c>
      <c r="F13" s="9">
        <f t="shared" si="3"/>
        <v>812209.17719099997</v>
      </c>
      <c r="H13" t="s">
        <v>9</v>
      </c>
      <c r="I13" s="9">
        <f>32684000+1770000</f>
        <v>34454000</v>
      </c>
      <c r="K13" s="16">
        <f>57+15+2</f>
        <v>74</v>
      </c>
      <c r="L13" s="21">
        <f t="shared" si="0"/>
        <v>1360795.1840000001</v>
      </c>
      <c r="M13" s="21">
        <f t="shared" ref="M13:M20" si="4">K13*J13</f>
        <v>0</v>
      </c>
      <c r="N13" s="21"/>
      <c r="O13" s="21"/>
      <c r="P13" s="21">
        <f>I13-M13</f>
        <v>34454000</v>
      </c>
      <c r="Q13" s="20">
        <v>3.9496000000000003E-2</v>
      </c>
      <c r="R13" s="22">
        <f>P13*Q13</f>
        <v>1360795.1840000001</v>
      </c>
      <c r="S13" s="10">
        <v>0.17286000000000001</v>
      </c>
      <c r="T13" s="23">
        <v>0.05</v>
      </c>
      <c r="U13" s="31">
        <v>2.5000000000000001E-2</v>
      </c>
      <c r="V13" s="22">
        <f>U13*R13</f>
        <v>34019.879600000007</v>
      </c>
      <c r="W13" s="22">
        <f t="shared" ref="W13:W24" si="5">R13-V13</f>
        <v>1326775.3044</v>
      </c>
      <c r="X13" s="3" t="e">
        <f>SUM(#REF!-F13)/F13</f>
        <v>#REF!</v>
      </c>
      <c r="Y13" s="17">
        <f t="shared" si="2"/>
        <v>1326775.3044</v>
      </c>
    </row>
    <row r="14" spans="1:25" x14ac:dyDescent="0.2">
      <c r="A14" s="11" t="s">
        <v>15</v>
      </c>
      <c r="B14" s="5">
        <v>42328000</v>
      </c>
      <c r="C14" s="5">
        <v>0</v>
      </c>
      <c r="D14" s="10">
        <v>0.19234000000000001</v>
      </c>
      <c r="E14">
        <v>3.637E-2</v>
      </c>
      <c r="F14" s="9">
        <f t="shared" si="3"/>
        <v>1243367.8232975998</v>
      </c>
      <c r="H14" t="s">
        <v>9</v>
      </c>
      <c r="I14" s="9">
        <v>38821000</v>
      </c>
      <c r="K14" s="16">
        <v>30</v>
      </c>
      <c r="L14" s="21">
        <f t="shared" si="0"/>
        <v>1533274.216</v>
      </c>
      <c r="M14" s="21">
        <f t="shared" si="4"/>
        <v>0</v>
      </c>
      <c r="N14" s="21"/>
      <c r="O14" s="21"/>
      <c r="P14" s="21">
        <f>I14-M14</f>
        <v>38821000</v>
      </c>
      <c r="Q14" s="20">
        <v>3.9496000000000003E-2</v>
      </c>
      <c r="R14" s="22">
        <f>P14*Q14</f>
        <v>1533274.216</v>
      </c>
      <c r="S14" s="10">
        <v>0.18234</v>
      </c>
      <c r="T14" s="23">
        <v>0.05</v>
      </c>
      <c r="U14" s="31">
        <v>0.115</v>
      </c>
      <c r="V14" s="22">
        <f>U14*R14</f>
        <v>176326.53484000001</v>
      </c>
      <c r="W14" s="22">
        <f t="shared" si="5"/>
        <v>1356947.6811599999</v>
      </c>
      <c r="X14" s="3" t="e">
        <f>SUM(#REF!-F14)/F14</f>
        <v>#REF!</v>
      </c>
      <c r="Y14" s="17">
        <f t="shared" si="2"/>
        <v>1356947.6811599999</v>
      </c>
    </row>
    <row r="15" spans="1:25" x14ac:dyDescent="0.2">
      <c r="A15" s="11" t="s">
        <v>16</v>
      </c>
      <c r="B15" s="5">
        <v>35055000</v>
      </c>
      <c r="C15" s="5">
        <v>0</v>
      </c>
      <c r="D15" s="10">
        <v>0.37404999999999999</v>
      </c>
      <c r="E15">
        <v>3.637E-2</v>
      </c>
      <c r="F15" s="9">
        <f t="shared" si="3"/>
        <v>798055.17158249998</v>
      </c>
      <c r="H15" t="s">
        <v>9</v>
      </c>
      <c r="I15" s="9">
        <v>68950000</v>
      </c>
      <c r="K15" s="16">
        <v>19</v>
      </c>
      <c r="L15" s="21">
        <f t="shared" si="0"/>
        <v>2569077</v>
      </c>
      <c r="M15" s="21">
        <f t="shared" si="4"/>
        <v>0</v>
      </c>
      <c r="N15" s="21"/>
      <c r="O15" s="21"/>
      <c r="P15" s="21">
        <f>I15-M15</f>
        <v>68950000</v>
      </c>
      <c r="Q15" s="20">
        <v>3.7260000000000001E-2</v>
      </c>
      <c r="R15" s="22">
        <f>P15*Q15</f>
        <v>2569077</v>
      </c>
      <c r="S15" s="10">
        <v>0.45405000000000001</v>
      </c>
      <c r="T15" s="23">
        <v>0.05</v>
      </c>
      <c r="U15" s="31">
        <v>0.26500000000000001</v>
      </c>
      <c r="V15" s="22">
        <f>U15*R15</f>
        <v>680805.40500000003</v>
      </c>
      <c r="W15" s="22">
        <f t="shared" si="5"/>
        <v>1888271.595</v>
      </c>
      <c r="X15" s="3" t="e">
        <f>SUM(#REF!-F15)/F15</f>
        <v>#REF!</v>
      </c>
      <c r="Y15" s="17">
        <f t="shared" si="2"/>
        <v>1888271.595</v>
      </c>
    </row>
    <row r="16" spans="1:25" x14ac:dyDescent="0.2">
      <c r="A16" s="11" t="s">
        <v>17</v>
      </c>
      <c r="B16" s="5">
        <v>87500000</v>
      </c>
      <c r="C16" s="5">
        <v>0</v>
      </c>
      <c r="D16" s="10">
        <v>0.44469999999999998</v>
      </c>
      <c r="E16">
        <v>3.637E-2</v>
      </c>
      <c r="F16" s="9">
        <f t="shared" si="3"/>
        <v>1767172.8375000001</v>
      </c>
      <c r="H16" t="s">
        <v>9</v>
      </c>
      <c r="I16" s="9">
        <v>78850000</v>
      </c>
      <c r="K16" s="16">
        <f>7+1</f>
        <v>8</v>
      </c>
      <c r="L16" s="21">
        <f t="shared" si="0"/>
        <v>3290489.3499999996</v>
      </c>
      <c r="M16" s="21">
        <f t="shared" si="4"/>
        <v>0</v>
      </c>
      <c r="N16" s="21"/>
      <c r="O16" s="21"/>
      <c r="P16" s="21">
        <f>I16-M16</f>
        <v>78850000</v>
      </c>
      <c r="Q16" s="20">
        <v>4.1730999999999997E-2</v>
      </c>
      <c r="R16" s="22">
        <f>P16*Q16</f>
        <v>3290489.3499999996</v>
      </c>
      <c r="S16" s="10">
        <v>0.41470000000000001</v>
      </c>
      <c r="T16" s="23">
        <v>0.05</v>
      </c>
      <c r="U16" s="31">
        <v>0.30499999999999999</v>
      </c>
      <c r="V16" s="22">
        <f>U16*R16</f>
        <v>1003599.2517499998</v>
      </c>
      <c r="W16" s="22">
        <f t="shared" si="5"/>
        <v>2286890.0982499998</v>
      </c>
      <c r="X16" s="3" t="e">
        <f>SUM(#REF!-F16)/F16</f>
        <v>#REF!</v>
      </c>
      <c r="Y16" s="17">
        <f t="shared" si="2"/>
        <v>2286890.0982499998</v>
      </c>
    </row>
    <row r="17" spans="1:25" x14ac:dyDescent="0.2">
      <c r="A17" s="11" t="s">
        <v>18</v>
      </c>
      <c r="B17" s="5">
        <v>160300000</v>
      </c>
      <c r="C17" s="5">
        <v>0</v>
      </c>
      <c r="D17" s="10">
        <v>0.67691999999999997</v>
      </c>
      <c r="E17">
        <v>3.637E-2</v>
      </c>
      <c r="F17" s="9">
        <f t="shared" si="3"/>
        <v>1883592.2618800001</v>
      </c>
      <c r="H17" t="s">
        <v>9</v>
      </c>
      <c r="I17" s="17">
        <v>189000000</v>
      </c>
      <c r="K17" s="16">
        <v>2</v>
      </c>
      <c r="L17" s="21">
        <f t="shared" si="0"/>
        <v>7464744.0000000009</v>
      </c>
      <c r="M17" s="21">
        <f t="shared" si="4"/>
        <v>0</v>
      </c>
      <c r="N17" s="21"/>
      <c r="O17" s="21"/>
      <c r="P17" s="21">
        <f>I17-M17</f>
        <v>189000000</v>
      </c>
      <c r="Q17" s="20">
        <v>3.9496000000000003E-2</v>
      </c>
      <c r="R17" s="22">
        <f>P17*Q17</f>
        <v>7464744.0000000009</v>
      </c>
      <c r="S17" s="10">
        <v>0.67691999999999997</v>
      </c>
      <c r="T17" s="23">
        <v>0.05</v>
      </c>
      <c r="U17" s="31">
        <v>0.53500000000000003</v>
      </c>
      <c r="V17" s="22">
        <f>U17*R17</f>
        <v>3993638.0400000005</v>
      </c>
      <c r="W17" s="22">
        <f t="shared" si="5"/>
        <v>3471105.9600000004</v>
      </c>
      <c r="X17" s="3" t="e">
        <f>SUM(#REF!-F17)/F17</f>
        <v>#REF!</v>
      </c>
      <c r="Y17" s="17">
        <f t="shared" si="2"/>
        <v>3471105.9600000004</v>
      </c>
    </row>
    <row r="18" spans="1:25" x14ac:dyDescent="0.2">
      <c r="F18" s="4"/>
      <c r="L18" s="21">
        <f t="shared" si="0"/>
        <v>0</v>
      </c>
      <c r="M18" s="21">
        <f t="shared" si="4"/>
        <v>0</v>
      </c>
      <c r="N18" s="21"/>
      <c r="O18" s="21"/>
      <c r="P18" s="21"/>
      <c r="Q18" s="20"/>
      <c r="R18" s="22"/>
      <c r="T18" s="23"/>
      <c r="U18" s="31"/>
      <c r="V18" s="22"/>
      <c r="W18" s="22">
        <f t="shared" si="5"/>
        <v>0</v>
      </c>
      <c r="Y18" s="17">
        <f t="shared" si="2"/>
        <v>0</v>
      </c>
    </row>
    <row r="19" spans="1:25" x14ac:dyDescent="0.2">
      <c r="A19" t="s">
        <v>12</v>
      </c>
      <c r="B19" s="5">
        <v>608888000</v>
      </c>
      <c r="D19" s="18">
        <v>0</v>
      </c>
      <c r="E19">
        <v>2.5000000000000001E-3</v>
      </c>
      <c r="F19" s="9">
        <f>((SUM(B19-C19)*E19)-(SUM(B19-C19)*E19)*D19)</f>
        <v>1522220</v>
      </c>
      <c r="H19" t="s">
        <v>12</v>
      </c>
      <c r="I19" s="9">
        <f>629829000+315015000</f>
        <v>944844000</v>
      </c>
      <c r="K19" s="16">
        <f>485+138</f>
        <v>623</v>
      </c>
      <c r="L19" s="21">
        <f t="shared" si="0"/>
        <v>2527457.6999999997</v>
      </c>
      <c r="M19" s="21">
        <f t="shared" si="4"/>
        <v>0</v>
      </c>
      <c r="N19" s="21"/>
      <c r="O19" s="21"/>
      <c r="P19" s="21">
        <f>I19-M19</f>
        <v>944844000</v>
      </c>
      <c r="Q19" s="20">
        <v>2.6749999999999999E-3</v>
      </c>
      <c r="R19" s="22">
        <f>P19*Q19</f>
        <v>2527457.6999999997</v>
      </c>
      <c r="S19" s="12">
        <v>0.2</v>
      </c>
      <c r="T19" s="18"/>
      <c r="U19" s="31">
        <v>0.105</v>
      </c>
      <c r="V19" s="22">
        <f>R19*U19</f>
        <v>265383.05849999998</v>
      </c>
      <c r="W19" s="22">
        <f t="shared" si="5"/>
        <v>2262074.6414999999</v>
      </c>
      <c r="X19" s="3" t="e">
        <f>SUM(#REF!-F19)/F19</f>
        <v>#REF!</v>
      </c>
      <c r="Y19" s="17">
        <f t="shared" si="2"/>
        <v>2262074.6414999999</v>
      </c>
    </row>
    <row r="20" spans="1:25" s="14" customFormat="1" x14ac:dyDescent="0.2">
      <c r="B20" s="16"/>
      <c r="C20" s="16"/>
      <c r="D20" s="18"/>
      <c r="F20" s="17"/>
      <c r="H20" s="14" t="s">
        <v>34</v>
      </c>
      <c r="I20" s="17">
        <f>115287000+27665000</f>
        <v>142952000</v>
      </c>
      <c r="J20" s="17"/>
      <c r="K20" s="16">
        <f>195+32</f>
        <v>227</v>
      </c>
      <c r="L20" s="21">
        <f t="shared" si="0"/>
        <v>382396.6</v>
      </c>
      <c r="M20" s="21">
        <f t="shared" si="4"/>
        <v>0</v>
      </c>
      <c r="N20" s="21"/>
      <c r="O20" s="21"/>
      <c r="P20" s="21">
        <f>I20-M20</f>
        <v>142952000</v>
      </c>
      <c r="Q20" s="20">
        <v>2.6749999999999999E-3</v>
      </c>
      <c r="R20" s="22">
        <f>P20*Q20</f>
        <v>382396.6</v>
      </c>
      <c r="S20" s="12"/>
      <c r="T20" s="18"/>
      <c r="U20" s="31">
        <v>0.105</v>
      </c>
      <c r="V20" s="22">
        <f>R20*U20</f>
        <v>40151.642999999996</v>
      </c>
      <c r="W20" s="22">
        <f t="shared" si="5"/>
        <v>342244.95699999999</v>
      </c>
      <c r="X20" s="15"/>
      <c r="Y20" s="17"/>
    </row>
    <row r="21" spans="1:25" x14ac:dyDescent="0.2">
      <c r="F21" s="4"/>
      <c r="L21" s="21"/>
      <c r="M21" s="21"/>
      <c r="N21" s="21"/>
      <c r="O21" s="21"/>
      <c r="P21" s="21"/>
      <c r="Q21" s="20"/>
      <c r="R21" s="22"/>
      <c r="T21" s="23"/>
      <c r="U21" s="31"/>
      <c r="V21" s="22"/>
      <c r="W21" s="22">
        <f t="shared" si="5"/>
        <v>0</v>
      </c>
      <c r="Y21" s="17">
        <f t="shared" ref="Y21:Y26" si="6">R21-V21-O21</f>
        <v>0</v>
      </c>
    </row>
    <row r="22" spans="1:25" x14ac:dyDescent="0.2">
      <c r="A22" s="11" t="s">
        <v>13</v>
      </c>
      <c r="B22" s="5">
        <v>44444845</v>
      </c>
      <c r="D22" s="12">
        <v>0.3</v>
      </c>
      <c r="E22">
        <v>2.0860000000000002E-3</v>
      </c>
      <c r="F22" s="9">
        <f>((SUM(B22-C22)*E22)-(SUM(B22-C22)*E22)*D22)</f>
        <v>64898.362669000009</v>
      </c>
      <c r="H22" s="11" t="s">
        <v>13</v>
      </c>
      <c r="I22" s="9">
        <f>258003000+16455000</f>
        <v>274458000</v>
      </c>
      <c r="J22" s="17">
        <v>0.3</v>
      </c>
      <c r="K22" s="16">
        <f>283+107</f>
        <v>390</v>
      </c>
      <c r="L22" s="21">
        <f>I22*Q22</f>
        <v>612595.74515999993</v>
      </c>
      <c r="M22" s="21"/>
      <c r="N22" s="21">
        <f>L22*0.8</f>
        <v>490076.59612799995</v>
      </c>
      <c r="O22" s="21"/>
      <c r="P22" s="21">
        <f>I22-O22-N22</f>
        <v>273967923.40387201</v>
      </c>
      <c r="Q22" s="20">
        <v>2.2320199999999999E-3</v>
      </c>
      <c r="R22" s="22">
        <f>P22*Q22</f>
        <v>611501.88439591043</v>
      </c>
      <c r="S22" s="12">
        <v>0.3</v>
      </c>
      <c r="T22" s="18"/>
      <c r="U22" s="31"/>
      <c r="V22" s="22"/>
      <c r="W22" s="22">
        <f t="shared" si="5"/>
        <v>611501.88439591043</v>
      </c>
      <c r="X22" s="3" t="e">
        <f>SUM(#REF!-F22)/F22</f>
        <v>#REF!</v>
      </c>
      <c r="Y22" s="17">
        <f t="shared" si="6"/>
        <v>611501.88439591043</v>
      </c>
    </row>
    <row r="23" spans="1:25" x14ac:dyDescent="0.2">
      <c r="F23" s="4"/>
      <c r="L23" s="21"/>
      <c r="M23" s="21"/>
      <c r="N23" s="21"/>
      <c r="O23" s="21"/>
      <c r="P23" s="21">
        <f>I23-O23</f>
        <v>0</v>
      </c>
      <c r="Q23" s="20"/>
      <c r="R23" s="22"/>
      <c r="T23" s="23"/>
      <c r="U23" s="31"/>
      <c r="V23" s="22"/>
      <c r="W23" s="22">
        <f t="shared" si="5"/>
        <v>0</v>
      </c>
      <c r="Y23" s="17">
        <f t="shared" si="6"/>
        <v>0</v>
      </c>
    </row>
    <row r="24" spans="1:25" x14ac:dyDescent="0.2">
      <c r="A24" s="11" t="s">
        <v>24</v>
      </c>
      <c r="B24" s="5">
        <v>291337000</v>
      </c>
      <c r="E24">
        <v>3.1189999999999999E-2</v>
      </c>
      <c r="F24" s="9">
        <f>((SUM(B24-C24)*E24)-(SUM(B24-C24)*E24)*D24)</f>
        <v>9086801.0299999993</v>
      </c>
      <c r="H24" s="11" t="s">
        <v>24</v>
      </c>
      <c r="I24" s="9">
        <f>590123000+439673000</f>
        <v>1029796000</v>
      </c>
      <c r="K24" s="14">
        <f>337+120</f>
        <v>457</v>
      </c>
      <c r="L24" s="21">
        <f>I24*Q24</f>
        <v>34367690.846799999</v>
      </c>
      <c r="M24" s="21">
        <f>K24*J24</f>
        <v>0</v>
      </c>
      <c r="N24" s="21"/>
      <c r="O24" s="21"/>
      <c r="P24" s="21">
        <f>I24-O24</f>
        <v>1029796000</v>
      </c>
      <c r="Q24" s="20">
        <v>3.3373300000000002E-2</v>
      </c>
      <c r="R24" s="22">
        <f>P24*Q24</f>
        <v>34367690.846799999</v>
      </c>
      <c r="S24" s="12">
        <v>0.05</v>
      </c>
      <c r="T24" s="18"/>
      <c r="U24" s="31">
        <v>1.4999999999999999E-2</v>
      </c>
      <c r="V24" s="22">
        <f>R24*U24</f>
        <v>515515.36270199995</v>
      </c>
      <c r="W24" s="22">
        <f t="shared" si="5"/>
        <v>33852175.484098002</v>
      </c>
      <c r="X24" s="3" t="e">
        <f>SUM(#REF!-F24)/F24</f>
        <v>#REF!</v>
      </c>
      <c r="Y24" s="17">
        <f t="shared" si="6"/>
        <v>33852175.484098002</v>
      </c>
    </row>
    <row r="25" spans="1:25" x14ac:dyDescent="0.2">
      <c r="F25" s="4"/>
      <c r="L25" s="21"/>
      <c r="P25" s="21"/>
      <c r="R25" s="22"/>
      <c r="V25" s="22">
        <f t="shared" ref="V25:V30" si="7">R25*U25</f>
        <v>0</v>
      </c>
      <c r="W25" s="22"/>
      <c r="Y25" s="17">
        <f t="shared" si="6"/>
        <v>0</v>
      </c>
    </row>
    <row r="26" spans="1:25" x14ac:dyDescent="0.2">
      <c r="H26" s="19" t="s">
        <v>37</v>
      </c>
      <c r="I26" s="9">
        <f>830000</f>
        <v>830000</v>
      </c>
      <c r="K26" s="14">
        <v>2</v>
      </c>
      <c r="L26" s="21">
        <f t="shared" ref="L26:L30" si="8">I26*Q26</f>
        <v>1836.5907999999999</v>
      </c>
      <c r="M26" s="14">
        <v>0</v>
      </c>
      <c r="P26" s="21">
        <f t="shared" ref="P26:P30" si="9">I26-O26</f>
        <v>830000</v>
      </c>
      <c r="Q26">
        <v>2.2127599999999998E-3</v>
      </c>
      <c r="R26" s="22">
        <f>P26*Q26</f>
        <v>1836.5907999999999</v>
      </c>
      <c r="U26" s="30">
        <v>0</v>
      </c>
      <c r="V26" s="22">
        <f t="shared" si="7"/>
        <v>0</v>
      </c>
      <c r="W26" s="22">
        <f t="shared" ref="W26:W30" si="10">R26-V26</f>
        <v>1836.5907999999999</v>
      </c>
      <c r="X26" s="3" t="e">
        <f>SUM(X3:X19)</f>
        <v>#REF!</v>
      </c>
      <c r="Y26" s="17">
        <f t="shared" si="6"/>
        <v>1836.5907999999999</v>
      </c>
    </row>
    <row r="27" spans="1:25" s="14" customFormat="1" x14ac:dyDescent="0.2">
      <c r="B27" s="16"/>
      <c r="C27" s="16"/>
      <c r="H27" s="19"/>
      <c r="I27" s="17"/>
      <c r="J27" s="17"/>
      <c r="L27" s="21"/>
      <c r="P27" s="21"/>
      <c r="R27" s="22"/>
      <c r="U27" s="30"/>
      <c r="V27" s="22"/>
      <c r="W27" s="22"/>
      <c r="X27" s="15"/>
      <c r="Y27" s="17"/>
    </row>
    <row r="28" spans="1:25" s="14" customFormat="1" x14ac:dyDescent="0.2">
      <c r="B28" s="16"/>
      <c r="C28" s="16"/>
      <c r="H28" s="19" t="s">
        <v>38</v>
      </c>
      <c r="I28" s="17">
        <f>12300000+221650000</f>
        <v>233950000</v>
      </c>
      <c r="J28" s="17"/>
      <c r="K28" s="14">
        <f>5+82</f>
        <v>87</v>
      </c>
      <c r="L28" s="21">
        <f t="shared" si="8"/>
        <v>1126469.25</v>
      </c>
      <c r="M28" s="14">
        <v>0</v>
      </c>
      <c r="P28" s="21">
        <f t="shared" si="9"/>
        <v>233950000</v>
      </c>
      <c r="Q28" s="14">
        <v>4.8149999999999998E-3</v>
      </c>
      <c r="R28" s="22">
        <f t="shared" ref="R28:R30" si="11">P28*Q28</f>
        <v>1126469.25</v>
      </c>
      <c r="U28" s="30">
        <v>0.36499999999999999</v>
      </c>
      <c r="V28" s="22">
        <f t="shared" si="7"/>
        <v>411161.27625</v>
      </c>
      <c r="W28" s="22">
        <f t="shared" si="10"/>
        <v>715307.97375</v>
      </c>
      <c r="X28" s="15"/>
      <c r="Y28" s="17"/>
    </row>
    <row r="29" spans="1:25" x14ac:dyDescent="0.2">
      <c r="L29" s="21"/>
      <c r="P29" s="21"/>
      <c r="R29" s="22"/>
      <c r="V29" s="22"/>
      <c r="W29" s="22"/>
      <c r="X29" s="3" t="e">
        <f>X26/13</f>
        <v>#REF!</v>
      </c>
      <c r="Y29" s="17">
        <f>R29-V29-O29</f>
        <v>0</v>
      </c>
    </row>
    <row r="30" spans="1:25" s="14" customFormat="1" x14ac:dyDescent="0.2">
      <c r="B30" s="16"/>
      <c r="C30" s="16"/>
      <c r="H30" s="19" t="s">
        <v>39</v>
      </c>
      <c r="I30" s="17">
        <v>1751000</v>
      </c>
      <c r="J30" s="17"/>
      <c r="K30" s="14">
        <v>1</v>
      </c>
      <c r="L30" s="21">
        <f t="shared" si="8"/>
        <v>35401.105150000003</v>
      </c>
      <c r="P30" s="21">
        <f t="shared" si="9"/>
        <v>1751000</v>
      </c>
      <c r="Q30" s="14">
        <v>2.021765E-2</v>
      </c>
      <c r="R30" s="22">
        <f t="shared" si="11"/>
        <v>35401.105150000003</v>
      </c>
      <c r="U30" s="30">
        <v>0.26500000000000001</v>
      </c>
      <c r="V30" s="22">
        <f t="shared" si="7"/>
        <v>9381.2928647500012</v>
      </c>
      <c r="W30" s="22">
        <f t="shared" si="10"/>
        <v>26019.812285250002</v>
      </c>
      <c r="X30" s="15"/>
      <c r="Y30" s="17"/>
    </row>
    <row r="31" spans="1:25" x14ac:dyDescent="0.2">
      <c r="P31" s="15"/>
      <c r="R31" s="22"/>
      <c r="W31" s="22"/>
      <c r="Y31" s="17">
        <f>R31-V31-O31</f>
        <v>0</v>
      </c>
    </row>
    <row r="32" spans="1:25" s="24" customFormat="1" ht="13.5" thickBot="1" x14ac:dyDescent="0.25">
      <c r="B32" s="25"/>
      <c r="C32" s="25"/>
      <c r="E32" s="26"/>
      <c r="I32" s="26">
        <f>SUM(I3:I31)</f>
        <v>5499075500</v>
      </c>
      <c r="J32" s="26">
        <f>SUM(J3:J31)</f>
        <v>90000.3</v>
      </c>
      <c r="K32" s="26">
        <f>SUM(K3:K31)</f>
        <v>10757</v>
      </c>
      <c r="L32" s="26">
        <f>SUM(L2:L24)</f>
        <v>112701426.81838499</v>
      </c>
      <c r="M32" s="28">
        <f>SUM(M3:M31)</f>
        <v>258840000</v>
      </c>
      <c r="N32" s="28"/>
      <c r="O32" s="27">
        <f>SUM(O3:O22)</f>
        <v>5233136.5259999996</v>
      </c>
      <c r="P32" s="26">
        <f>SUM(P3:P31)</f>
        <v>5239745423.4038715</v>
      </c>
      <c r="Q32" s="26">
        <f>SUM(Q3:Q31)</f>
        <v>0.51188767999999996</v>
      </c>
      <c r="R32" s="27">
        <f>SUM(R3:R31)</f>
        <v>108630903.3775709</v>
      </c>
      <c r="S32" s="27">
        <f>SUM(S3:S31)</f>
        <v>5.12988</v>
      </c>
      <c r="T32" s="27">
        <f>SUM(T3:T31)</f>
        <v>0.6</v>
      </c>
      <c r="U32" s="32"/>
      <c r="V32" s="27">
        <f>SUM(V3:V31)</f>
        <v>23079803.624644626</v>
      </c>
      <c r="W32" s="26">
        <f t="shared" ref="W32:X32" si="12">SUM(W3:W31)</f>
        <v>85551099.75292629</v>
      </c>
      <c r="X32" s="26" t="e">
        <f t="shared" si="12"/>
        <v>#REF!</v>
      </c>
      <c r="Y32" s="26">
        <f>SUM(Y3:Y31)</f>
        <v>79604654.70640254</v>
      </c>
    </row>
    <row r="33" spans="15:23" ht="13.5" thickTop="1" x14ac:dyDescent="0.2"/>
    <row r="34" spans="15:23" x14ac:dyDescent="0.2">
      <c r="O34" s="17"/>
    </row>
    <row r="35" spans="15:23" x14ac:dyDescent="0.2">
      <c r="W35" s="29"/>
    </row>
    <row r="36" spans="15:23" x14ac:dyDescent="0.2">
      <c r="R36" s="15"/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>
      <selection activeCell="A6" sqref="A6"/>
    </sheetView>
  </sheetViews>
  <sheetFormatPr defaultRowHeight="12.75" x14ac:dyDescent="0.2"/>
  <cols>
    <col min="1" max="1" width="20.5703125" customWidth="1"/>
    <col min="2" max="2" width="13" customWidth="1"/>
    <col min="6" max="6" width="13" customWidth="1"/>
    <col min="7" max="7" width="4.140625" customWidth="1"/>
    <col min="8" max="8" width="20.28515625" customWidth="1"/>
    <col min="9" max="9" width="18.140625" customWidth="1"/>
    <col min="11" max="11" width="11.28515625" bestFit="1" customWidth="1"/>
    <col min="13" max="13" width="17.5703125" customWidth="1"/>
    <col min="14" max="14" width="3.7109375" customWidth="1"/>
  </cols>
  <sheetData>
    <row r="1" spans="1:18" x14ac:dyDescent="0.2">
      <c r="A1" s="14" t="s">
        <v>0</v>
      </c>
      <c r="B1" s="16" t="s">
        <v>25</v>
      </c>
      <c r="C1" s="16"/>
      <c r="D1" s="14"/>
      <c r="E1" s="14"/>
      <c r="F1" s="14"/>
      <c r="G1" s="14"/>
      <c r="H1" s="14"/>
      <c r="I1" s="17"/>
      <c r="J1" s="14"/>
      <c r="K1" s="14"/>
      <c r="L1" s="14"/>
      <c r="M1" s="14"/>
      <c r="N1" s="14"/>
      <c r="O1" s="15"/>
      <c r="P1" s="14"/>
      <c r="Q1" s="14"/>
      <c r="R1" s="14"/>
    </row>
    <row r="2" spans="1:18" x14ac:dyDescent="0.2">
      <c r="A2" s="14"/>
      <c r="B2" s="16"/>
      <c r="C2" s="16"/>
      <c r="D2" s="14"/>
      <c r="E2" s="14"/>
      <c r="F2" s="14"/>
      <c r="G2" s="14"/>
      <c r="H2" s="14"/>
      <c r="I2" s="17"/>
      <c r="J2" s="14"/>
      <c r="K2" s="14"/>
      <c r="L2" s="14"/>
      <c r="M2" s="14"/>
      <c r="N2" s="14"/>
      <c r="O2" s="15"/>
      <c r="P2" s="14"/>
      <c r="Q2" s="14"/>
      <c r="R2" s="14"/>
    </row>
    <row r="3" spans="1:18" ht="25.5" x14ac:dyDescent="0.2">
      <c r="A3" s="14" t="s">
        <v>1</v>
      </c>
      <c r="B3" s="6" t="s">
        <v>2</v>
      </c>
      <c r="C3" s="7" t="s">
        <v>4</v>
      </c>
      <c r="D3" s="2" t="s">
        <v>3</v>
      </c>
      <c r="E3" s="14" t="s">
        <v>5</v>
      </c>
      <c r="F3" s="1" t="s">
        <v>10</v>
      </c>
      <c r="G3" s="14"/>
      <c r="H3" s="14" t="s">
        <v>1</v>
      </c>
      <c r="I3" s="13" t="s">
        <v>2</v>
      </c>
      <c r="J3" s="1" t="s">
        <v>4</v>
      </c>
      <c r="K3" s="2" t="s">
        <v>3</v>
      </c>
      <c r="L3" s="14" t="s">
        <v>5</v>
      </c>
      <c r="M3" s="1" t="s">
        <v>10</v>
      </c>
      <c r="N3" s="14"/>
      <c r="O3" s="8" t="s">
        <v>7</v>
      </c>
      <c r="P3" s="14"/>
      <c r="Q3" s="14"/>
      <c r="R3" s="14"/>
    </row>
    <row r="4" spans="1:18" x14ac:dyDescent="0.2">
      <c r="A4" s="14"/>
      <c r="B4" s="16"/>
      <c r="C4" s="16"/>
      <c r="D4" s="14"/>
      <c r="E4" s="14"/>
      <c r="F4" s="14"/>
      <c r="G4" s="14"/>
      <c r="H4" s="14"/>
      <c r="I4" s="17"/>
      <c r="J4" s="14"/>
      <c r="K4" s="18"/>
      <c r="L4" s="14"/>
      <c r="M4" s="14"/>
      <c r="N4" s="14"/>
      <c r="O4" s="15"/>
      <c r="P4" s="14"/>
      <c r="Q4" s="14"/>
      <c r="R4" s="14"/>
    </row>
    <row r="5" spans="1:18" x14ac:dyDescent="0.2">
      <c r="A5" s="20" t="s">
        <v>6</v>
      </c>
      <c r="B5" s="21">
        <v>1652717120</v>
      </c>
      <c r="C5" s="21">
        <v>30000</v>
      </c>
      <c r="D5" s="23">
        <v>0.55837000000000003</v>
      </c>
      <c r="E5" s="20">
        <v>1.8894999999999999E-2</v>
      </c>
      <c r="F5" s="22">
        <v>13791011.040961809</v>
      </c>
      <c r="G5" s="20"/>
      <c r="H5" s="20" t="s">
        <v>6</v>
      </c>
      <c r="I5" s="22">
        <v>1824855500</v>
      </c>
      <c r="J5" s="21">
        <v>30000</v>
      </c>
      <c r="K5" s="23">
        <v>0.55837000000000003</v>
      </c>
      <c r="L5" s="20">
        <v>1.8894999999999999E-2</v>
      </c>
      <c r="M5" s="22">
        <v>13110578.93</v>
      </c>
      <c r="N5" s="20"/>
      <c r="O5" s="15">
        <f t="shared" ref="O5:O9" si="0">SUM(M5-F5)/F5</f>
        <v>-4.933881271944477E-2</v>
      </c>
      <c r="P5" s="14"/>
      <c r="Q5" s="14"/>
      <c r="R5" s="14"/>
    </row>
    <row r="6" spans="1:18" x14ac:dyDescent="0.2">
      <c r="A6" s="14" t="s">
        <v>11</v>
      </c>
      <c r="B6" s="16">
        <v>26323000</v>
      </c>
      <c r="C6" s="16">
        <v>30000</v>
      </c>
      <c r="D6" s="18">
        <v>0.55837000000000003</v>
      </c>
      <c r="E6" s="14">
        <v>1.8894999999999999E-2</v>
      </c>
      <c r="F6" s="17">
        <v>203159.66071463999</v>
      </c>
      <c r="G6" s="14"/>
      <c r="H6" s="19" t="s">
        <v>11</v>
      </c>
      <c r="I6" s="17">
        <v>29675000</v>
      </c>
      <c r="J6" s="16">
        <v>30000</v>
      </c>
      <c r="K6" s="18">
        <v>0.52249999999999996</v>
      </c>
      <c r="L6" s="14">
        <v>1.8894999999999999E-2</v>
      </c>
      <c r="M6" s="17">
        <v>247125.3</v>
      </c>
      <c r="N6" s="14"/>
      <c r="O6" s="15">
        <f t="shared" si="0"/>
        <v>0.21640929666206993</v>
      </c>
      <c r="P6" s="14"/>
      <c r="Q6" s="14"/>
      <c r="R6" s="14"/>
    </row>
    <row r="7" spans="1:18" x14ac:dyDescent="0.2">
      <c r="A7" s="14"/>
      <c r="B7" s="16"/>
      <c r="C7" s="16"/>
      <c r="D7" s="18"/>
      <c r="E7" s="14"/>
      <c r="F7" s="17"/>
      <c r="G7" s="14"/>
      <c r="H7" s="14"/>
      <c r="I7" s="17"/>
      <c r="J7" s="14"/>
      <c r="K7" s="18"/>
      <c r="L7" s="14"/>
      <c r="M7" s="17"/>
      <c r="N7" s="14"/>
      <c r="O7" s="15"/>
      <c r="P7" s="14"/>
      <c r="Q7" s="14"/>
      <c r="R7" s="14"/>
    </row>
    <row r="8" spans="1:18" x14ac:dyDescent="0.2">
      <c r="A8" s="19" t="s">
        <v>19</v>
      </c>
      <c r="B8" s="16">
        <v>66755000</v>
      </c>
      <c r="C8" s="16">
        <v>0</v>
      </c>
      <c r="D8" s="18">
        <v>0.29659999999999997</v>
      </c>
      <c r="E8" s="14">
        <v>3.7260000000000001E-2</v>
      </c>
      <c r="F8" s="17">
        <f t="shared" ref="F8:F18" si="1">((SUM(B8-C8)*E8)-(SUM(B8-C8)*E8)*D8)</f>
        <v>1749560.7004200001</v>
      </c>
      <c r="G8" s="14"/>
      <c r="H8" s="14" t="s">
        <v>8</v>
      </c>
      <c r="I8" s="17">
        <v>77448000</v>
      </c>
      <c r="J8" s="16">
        <v>0</v>
      </c>
      <c r="K8" s="18">
        <v>0.35722999999999999</v>
      </c>
      <c r="L8" s="14">
        <v>3.7260000000000001E-2</v>
      </c>
      <c r="M8" s="17">
        <f t="shared" ref="M8:M22" si="2">((SUM(I8-J8)*L8)-(SUM(I8-J8)*L8)*K8)</f>
        <v>1854849.4107696</v>
      </c>
      <c r="N8" s="14"/>
      <c r="O8" s="15">
        <f t="shared" si="0"/>
        <v>6.0180084248762665E-2</v>
      </c>
      <c r="P8" s="14"/>
      <c r="Q8" s="14"/>
      <c r="R8" s="14"/>
    </row>
    <row r="9" spans="1:18" x14ac:dyDescent="0.2">
      <c r="A9" s="19" t="s">
        <v>20</v>
      </c>
      <c r="B9" s="16">
        <v>64130000</v>
      </c>
      <c r="C9" s="16">
        <v>0</v>
      </c>
      <c r="D9" s="18">
        <v>0.34684999999999999</v>
      </c>
      <c r="E9" s="14">
        <v>3.7260000000000001E-2</v>
      </c>
      <c r="F9" s="17">
        <f t="shared" si="1"/>
        <v>1560691.3439700003</v>
      </c>
      <c r="G9" s="14"/>
      <c r="H9" s="14" t="s">
        <v>8</v>
      </c>
      <c r="I9" s="17">
        <v>56819000</v>
      </c>
      <c r="J9" s="16">
        <v>0</v>
      </c>
      <c r="K9" s="18">
        <v>0.21875</v>
      </c>
      <c r="L9" s="14">
        <v>3.7260000000000001E-2</v>
      </c>
      <c r="M9" s="17">
        <f t="shared" si="2"/>
        <v>1653965.578125</v>
      </c>
      <c r="N9" s="14"/>
      <c r="O9" s="15">
        <f t="shared" si="0"/>
        <v>5.9764689869896942E-2</v>
      </c>
      <c r="P9" s="14"/>
      <c r="Q9" s="14"/>
      <c r="R9" s="14"/>
    </row>
    <row r="10" spans="1:18" x14ac:dyDescent="0.2">
      <c r="A10" s="19" t="s">
        <v>21</v>
      </c>
      <c r="B10" s="16">
        <v>132043000</v>
      </c>
      <c r="C10" s="16">
        <v>0</v>
      </c>
      <c r="D10" s="18">
        <v>0.24635000000000001</v>
      </c>
      <c r="E10" s="14">
        <v>3.7260000000000001E-2</v>
      </c>
      <c r="F10" s="17">
        <f t="shared" si="1"/>
        <v>3707899.3509570006</v>
      </c>
      <c r="G10" s="14"/>
      <c r="H10" s="14" t="s">
        <v>8</v>
      </c>
      <c r="I10" s="17">
        <v>149851000</v>
      </c>
      <c r="J10" s="16">
        <v>0</v>
      </c>
      <c r="K10" s="18">
        <v>0.29675000000000001</v>
      </c>
      <c r="L10" s="14">
        <v>3.7260000000000001E-2</v>
      </c>
      <c r="M10" s="17">
        <f t="shared" si="2"/>
        <v>3926559.988845</v>
      </c>
      <c r="N10" s="14"/>
      <c r="O10" s="15">
        <f>SUM(M10-F10)/F10</f>
        <v>5.8971567777740132E-2</v>
      </c>
      <c r="P10" s="14"/>
      <c r="Q10" s="14"/>
      <c r="R10" s="14"/>
    </row>
    <row r="11" spans="1:18" x14ac:dyDescent="0.2">
      <c r="A11" s="19" t="s">
        <v>22</v>
      </c>
      <c r="B11" s="16">
        <v>32703000</v>
      </c>
      <c r="C11" s="16">
        <v>0</v>
      </c>
      <c r="D11" s="18">
        <v>0.26650000000000001</v>
      </c>
      <c r="E11" s="14">
        <v>3.7260000000000001E-2</v>
      </c>
      <c r="F11" s="17">
        <f t="shared" si="1"/>
        <v>893779.85762999998</v>
      </c>
      <c r="G11" s="14"/>
      <c r="H11" s="14" t="s">
        <v>8</v>
      </c>
      <c r="I11" s="17">
        <v>33369000</v>
      </c>
      <c r="J11" s="16">
        <v>0</v>
      </c>
      <c r="K11" s="18">
        <v>0.23788999999999999</v>
      </c>
      <c r="L11" s="14">
        <v>3.7260000000000001E-2</v>
      </c>
      <c r="M11" s="17">
        <f t="shared" si="2"/>
        <v>947553.41846339998</v>
      </c>
      <c r="N11" s="14"/>
      <c r="O11" s="15">
        <f>SUM(M11-F11)/F11</f>
        <v>6.0164211997335876E-2</v>
      </c>
      <c r="P11" s="14"/>
      <c r="Q11" s="14"/>
      <c r="R11" s="14"/>
    </row>
    <row r="12" spans="1:18" x14ac:dyDescent="0.2">
      <c r="A12" s="19" t="s">
        <v>23</v>
      </c>
      <c r="B12" s="16">
        <v>74557000</v>
      </c>
      <c r="C12" s="16">
        <v>0</v>
      </c>
      <c r="D12" s="18">
        <v>0.22120999999999999</v>
      </c>
      <c r="E12" s="14">
        <v>3.7260000000000001E-2</v>
      </c>
      <c r="F12" s="17">
        <f t="shared" si="1"/>
        <v>2163473.8070778004</v>
      </c>
      <c r="G12" s="14"/>
      <c r="H12" s="14" t="s">
        <v>8</v>
      </c>
      <c r="I12" s="17">
        <v>131300000</v>
      </c>
      <c r="J12" s="16">
        <v>0</v>
      </c>
      <c r="K12" s="18">
        <v>0.53115000000000001</v>
      </c>
      <c r="L12" s="14">
        <v>3.7260000000000001E-2</v>
      </c>
      <c r="M12" s="17">
        <f t="shared" si="2"/>
        <v>2293725.7862999998</v>
      </c>
      <c r="N12" s="14"/>
      <c r="O12" s="15">
        <f>SUM(M12-F12)/F12</f>
        <v>6.0205017872682495E-2</v>
      </c>
      <c r="P12" s="14"/>
      <c r="Q12" s="14"/>
      <c r="R12" s="14"/>
    </row>
    <row r="13" spans="1:18" x14ac:dyDescent="0.2">
      <c r="A13" s="14"/>
      <c r="B13" s="16"/>
      <c r="C13" s="16"/>
      <c r="D13" s="18"/>
      <c r="E13" s="14"/>
      <c r="F13" s="17">
        <f t="shared" si="1"/>
        <v>0</v>
      </c>
      <c r="G13" s="14"/>
      <c r="H13" s="14"/>
      <c r="I13" s="17"/>
      <c r="J13" s="14"/>
      <c r="K13" s="18"/>
      <c r="L13" s="14"/>
      <c r="M13" s="17"/>
      <c r="N13" s="14"/>
      <c r="O13" s="15"/>
      <c r="P13" s="14"/>
      <c r="Q13" s="14"/>
      <c r="R13" s="14"/>
    </row>
    <row r="14" spans="1:18" x14ac:dyDescent="0.2">
      <c r="A14" s="19" t="s">
        <v>14</v>
      </c>
      <c r="B14" s="16">
        <v>29495000</v>
      </c>
      <c r="C14" s="16">
        <v>0</v>
      </c>
      <c r="D14" s="18">
        <v>0.24285999999999999</v>
      </c>
      <c r="E14" s="14">
        <v>3.637E-2</v>
      </c>
      <c r="F14" s="17">
        <f t="shared" si="1"/>
        <v>812209.17719099997</v>
      </c>
      <c r="G14" s="14"/>
      <c r="H14" s="14" t="s">
        <v>9</v>
      </c>
      <c r="I14" s="17">
        <v>29434000</v>
      </c>
      <c r="J14" s="14"/>
      <c r="K14" s="18">
        <v>0.21124999999999999</v>
      </c>
      <c r="L14" s="14">
        <v>3.7260000000000001E-2</v>
      </c>
      <c r="M14" s="17">
        <f t="shared" si="2"/>
        <v>865030.67505000008</v>
      </c>
      <c r="N14" s="14"/>
      <c r="O14" s="15">
        <f>SUM(M14-F14)/F14</f>
        <v>6.5034352408675819E-2</v>
      </c>
      <c r="P14" s="14"/>
      <c r="Q14" s="14"/>
      <c r="R14" s="14"/>
    </row>
    <row r="15" spans="1:18" x14ac:dyDescent="0.2">
      <c r="A15" s="19" t="s">
        <v>15</v>
      </c>
      <c r="B15" s="16">
        <v>42328000</v>
      </c>
      <c r="C15" s="16">
        <v>0</v>
      </c>
      <c r="D15" s="18">
        <v>0.19234000000000001</v>
      </c>
      <c r="E15" s="14">
        <v>3.637E-2</v>
      </c>
      <c r="F15" s="17">
        <f t="shared" si="1"/>
        <v>1243367.8232975998</v>
      </c>
      <c r="G15" s="14"/>
      <c r="H15" s="14" t="s">
        <v>9</v>
      </c>
      <c r="I15" s="17">
        <v>42191000</v>
      </c>
      <c r="J15" s="14"/>
      <c r="K15" s="18">
        <v>0.15975</v>
      </c>
      <c r="L15" s="14">
        <v>3.7260000000000001E-2</v>
      </c>
      <c r="M15" s="17">
        <f t="shared" si="2"/>
        <v>1320903.8035650002</v>
      </c>
      <c r="N15" s="14"/>
      <c r="O15" s="15">
        <f>SUM(M15-F15)/F15</f>
        <v>6.235964837964298E-2</v>
      </c>
      <c r="P15" s="14"/>
      <c r="Q15" s="14"/>
      <c r="R15" s="14"/>
    </row>
    <row r="16" spans="1:18" x14ac:dyDescent="0.2">
      <c r="A16" s="19" t="s">
        <v>16</v>
      </c>
      <c r="B16" s="16">
        <v>35055000</v>
      </c>
      <c r="C16" s="16">
        <v>0</v>
      </c>
      <c r="D16" s="18">
        <v>0.37404999999999999</v>
      </c>
      <c r="E16" s="14">
        <v>3.637E-2</v>
      </c>
      <c r="F16" s="17">
        <f t="shared" si="1"/>
        <v>798055.17158249998</v>
      </c>
      <c r="G16" s="14"/>
      <c r="H16" s="14" t="s">
        <v>9</v>
      </c>
      <c r="I16" s="17">
        <v>59750000</v>
      </c>
      <c r="J16" s="14"/>
      <c r="K16" s="18">
        <v>0.61989000000000005</v>
      </c>
      <c r="L16" s="14">
        <v>3.7260000000000001E-2</v>
      </c>
      <c r="M16" s="17">
        <f t="shared" si="2"/>
        <v>846233.19134999998</v>
      </c>
      <c r="N16" s="14"/>
      <c r="O16" s="15">
        <f>SUM(M16-F16)/F16</f>
        <v>6.0369284584630409E-2</v>
      </c>
      <c r="P16" s="14"/>
      <c r="Q16" s="14"/>
      <c r="R16" s="14"/>
    </row>
    <row r="17" spans="1:18" x14ac:dyDescent="0.2">
      <c r="A17" s="19" t="s">
        <v>17</v>
      </c>
      <c r="B17" s="16">
        <v>87500000</v>
      </c>
      <c r="C17" s="16">
        <v>0</v>
      </c>
      <c r="D17" s="18">
        <v>0.44469999999999998</v>
      </c>
      <c r="E17" s="14">
        <v>3.637E-2</v>
      </c>
      <c r="F17" s="17">
        <f t="shared" si="1"/>
        <v>1767172.8375000001</v>
      </c>
      <c r="G17" s="14"/>
      <c r="H17" s="14" t="s">
        <v>9</v>
      </c>
      <c r="I17" s="17">
        <v>90355000</v>
      </c>
      <c r="J17" s="14"/>
      <c r="K17" s="18">
        <v>0.43987999999999999</v>
      </c>
      <c r="L17" s="14">
        <v>3.7260000000000001E-2</v>
      </c>
      <c r="M17" s="17">
        <f t="shared" si="2"/>
        <v>1885715.2832760003</v>
      </c>
      <c r="N17" s="14"/>
      <c r="O17" s="15">
        <f>SUM(M17-F17)/F17</f>
        <v>6.7080278318277481E-2</v>
      </c>
      <c r="P17" s="14"/>
      <c r="Q17" s="14"/>
      <c r="R17" s="14"/>
    </row>
    <row r="18" spans="1:18" x14ac:dyDescent="0.2">
      <c r="A18" s="19" t="s">
        <v>18</v>
      </c>
      <c r="B18" s="16">
        <v>160300000</v>
      </c>
      <c r="C18" s="16">
        <v>0</v>
      </c>
      <c r="D18" s="18">
        <v>0.67691999999999997</v>
      </c>
      <c r="E18" s="14">
        <v>3.637E-2</v>
      </c>
      <c r="F18" s="17">
        <f t="shared" si="1"/>
        <v>1883592.2618800001</v>
      </c>
      <c r="G18" s="14"/>
      <c r="H18" s="14" t="s">
        <v>9</v>
      </c>
      <c r="I18" s="17">
        <v>169000000</v>
      </c>
      <c r="J18" s="14"/>
      <c r="K18" s="18">
        <v>0.68125000000000002</v>
      </c>
      <c r="L18" s="14">
        <v>3.7260000000000001E-2</v>
      </c>
      <c r="M18" s="17">
        <f t="shared" si="2"/>
        <v>2007149.625</v>
      </c>
      <c r="N18" s="14"/>
      <c r="O18" s="15">
        <f>SUM(M18-F18)/F18</f>
        <v>6.5596661029323905E-2</v>
      </c>
      <c r="P18" s="14"/>
      <c r="Q18" s="14"/>
      <c r="R18" s="14"/>
    </row>
    <row r="19" spans="1:18" x14ac:dyDescent="0.2">
      <c r="A19" s="14"/>
      <c r="B19" s="16"/>
      <c r="C19" s="16"/>
      <c r="D19" s="14"/>
      <c r="E19" s="14"/>
      <c r="F19" s="4"/>
      <c r="G19" s="14"/>
      <c r="H19" s="14"/>
      <c r="I19" s="17"/>
      <c r="J19" s="14"/>
      <c r="K19" s="14"/>
      <c r="L19" s="14"/>
      <c r="M19" s="17"/>
      <c r="N19" s="14"/>
      <c r="O19" s="15"/>
      <c r="P19" s="14"/>
      <c r="Q19" s="14"/>
      <c r="R19" s="14"/>
    </row>
    <row r="20" spans="1:18" x14ac:dyDescent="0.2">
      <c r="A20" s="14" t="s">
        <v>12</v>
      </c>
      <c r="B20" s="16">
        <v>608888000</v>
      </c>
      <c r="C20" s="16"/>
      <c r="D20" s="18">
        <v>0</v>
      </c>
      <c r="E20" s="14">
        <v>2.5000000000000001E-3</v>
      </c>
      <c r="F20" s="17">
        <f>((SUM(B20-C20)*E20)-(SUM(B20-C20)*E20)*D20)</f>
        <v>1522220</v>
      </c>
      <c r="G20" s="14"/>
      <c r="H20" s="14" t="s">
        <v>12</v>
      </c>
      <c r="I20" s="17">
        <v>829531000</v>
      </c>
      <c r="J20" s="14"/>
      <c r="K20" s="12">
        <v>0.22</v>
      </c>
      <c r="L20" s="14">
        <v>2.5000000000000001E-3</v>
      </c>
      <c r="M20" s="17">
        <f t="shared" si="2"/>
        <v>1617585.45</v>
      </c>
      <c r="N20" s="14"/>
      <c r="O20" s="15">
        <f>SUM(M20-F20)/F20</f>
        <v>6.2648927224711243E-2</v>
      </c>
      <c r="P20" s="14"/>
      <c r="Q20" s="14"/>
      <c r="R20" s="14"/>
    </row>
    <row r="21" spans="1:18" x14ac:dyDescent="0.2">
      <c r="A21" s="14"/>
      <c r="B21" s="16"/>
      <c r="C21" s="16"/>
      <c r="D21" s="14"/>
      <c r="E21" s="14"/>
      <c r="F21" s="4"/>
      <c r="G21" s="14"/>
      <c r="H21" s="14"/>
      <c r="I21" s="17"/>
      <c r="J21" s="14"/>
      <c r="K21" s="14"/>
      <c r="L21" s="14"/>
      <c r="M21" s="17">
        <f t="shared" si="2"/>
        <v>0</v>
      </c>
      <c r="N21" s="14"/>
      <c r="O21" s="15"/>
      <c r="P21" s="14"/>
      <c r="Q21" s="14"/>
      <c r="R21" s="14"/>
    </row>
    <row r="22" spans="1:18" x14ac:dyDescent="0.2">
      <c r="A22" s="19" t="s">
        <v>13</v>
      </c>
      <c r="B22" s="16">
        <v>44444845</v>
      </c>
      <c r="C22" s="16"/>
      <c r="D22" s="12">
        <v>0.3</v>
      </c>
      <c r="E22" s="14">
        <v>2.0860000000000002E-3</v>
      </c>
      <c r="F22" s="17">
        <f>((SUM(B22-C22)*E22)-(SUM(B22-C22)*E22)*D22)</f>
        <v>64898.362669000009</v>
      </c>
      <c r="G22" s="14"/>
      <c r="H22" s="19" t="s">
        <v>13</v>
      </c>
      <c r="I22" s="17">
        <v>40835000</v>
      </c>
      <c r="J22" s="14"/>
      <c r="K22" s="12">
        <v>0.3</v>
      </c>
      <c r="L22" s="14">
        <v>2.0860000000000002E-3</v>
      </c>
      <c r="M22" s="17">
        <f t="shared" si="2"/>
        <v>59627.267000000007</v>
      </c>
      <c r="N22" s="17"/>
      <c r="O22" s="15">
        <f>SUM(M22-F22)/F22</f>
        <v>-8.1220780497715792E-2</v>
      </c>
      <c r="P22" s="14"/>
      <c r="Q22" s="14"/>
      <c r="R22" s="14"/>
    </row>
    <row r="23" spans="1:18" x14ac:dyDescent="0.2">
      <c r="A23" s="14"/>
      <c r="B23" s="16"/>
      <c r="C23" s="16"/>
      <c r="D23" s="14"/>
      <c r="E23" s="14"/>
      <c r="F23" s="4"/>
      <c r="G23" s="14"/>
      <c r="H23" s="14"/>
      <c r="I23" s="17"/>
      <c r="J23" s="14"/>
      <c r="K23" s="14"/>
      <c r="L23" s="14"/>
      <c r="M23" s="17"/>
      <c r="N23" s="14"/>
      <c r="O23" s="15"/>
      <c r="P23" s="14"/>
      <c r="Q23" s="14"/>
      <c r="R23" s="14"/>
    </row>
    <row r="24" spans="1:18" x14ac:dyDescent="0.2">
      <c r="A24" s="19" t="s">
        <v>24</v>
      </c>
      <c r="B24" s="16">
        <v>291337000</v>
      </c>
      <c r="C24" s="16"/>
      <c r="D24" s="14"/>
      <c r="E24" s="14">
        <v>3.1189999999999999E-2</v>
      </c>
      <c r="F24" s="17">
        <f>((SUM(B24-C24)*E24)-(SUM(B24-C24)*E24)*D24)</f>
        <v>9086801.0299999993</v>
      </c>
      <c r="G24" s="14"/>
      <c r="H24" s="19" t="s">
        <v>24</v>
      </c>
      <c r="I24" s="17">
        <v>707566000</v>
      </c>
      <c r="J24" s="14"/>
      <c r="K24" s="12" t="s">
        <v>26</v>
      </c>
      <c r="L24" s="14">
        <v>3.1189999999999999E-2</v>
      </c>
      <c r="M24" s="17">
        <v>22068983.539999999</v>
      </c>
      <c r="N24" s="17"/>
      <c r="O24" s="15">
        <f>SUM(M24-F24)/F24</f>
        <v>1.4286856801573435</v>
      </c>
      <c r="P24" s="14"/>
      <c r="Q24" s="14"/>
      <c r="R24" s="14"/>
    </row>
    <row r="25" spans="1:18" x14ac:dyDescent="0.2">
      <c r="A25" s="14"/>
      <c r="B25" s="16"/>
      <c r="C25" s="16"/>
      <c r="D25" s="14"/>
      <c r="E25" s="14"/>
      <c r="F25" s="4"/>
      <c r="G25" s="14"/>
      <c r="H25" s="14"/>
      <c r="I25" s="17"/>
      <c r="J25" s="14"/>
      <c r="K25" s="14"/>
      <c r="L25" s="14"/>
      <c r="M25" s="4"/>
      <c r="N25" s="14"/>
      <c r="O25" s="15"/>
      <c r="P25" s="14"/>
      <c r="Q25" s="14"/>
      <c r="R25" s="14"/>
    </row>
    <row r="26" spans="1:18" x14ac:dyDescent="0.2">
      <c r="A26" s="14"/>
      <c r="B26" s="16"/>
      <c r="C26" s="16"/>
      <c r="D26" s="14"/>
      <c r="E26" s="14"/>
      <c r="F26" s="14"/>
      <c r="G26" s="14"/>
      <c r="H26" s="14"/>
      <c r="I26" s="17"/>
      <c r="J26" s="14"/>
      <c r="K26" s="14"/>
      <c r="L26" s="14"/>
      <c r="M26" s="14"/>
      <c r="N26" s="14"/>
      <c r="O26" s="15">
        <f>SUM(O5:O20)</f>
        <v>0.84944520765430531</v>
      </c>
      <c r="P26" s="14"/>
      <c r="Q26" s="14"/>
      <c r="R26" s="14"/>
    </row>
    <row r="27" spans="1:18" x14ac:dyDescent="0.2">
      <c r="A27" s="14"/>
      <c r="B27" s="16"/>
      <c r="C27" s="16"/>
      <c r="D27" s="14"/>
      <c r="E27" s="14"/>
      <c r="F27" s="14"/>
      <c r="G27" s="14"/>
      <c r="H27" s="14"/>
      <c r="I27" s="17"/>
      <c r="J27" s="14"/>
      <c r="K27" s="14"/>
      <c r="L27" s="14"/>
      <c r="M27" s="14"/>
      <c r="N27" s="14"/>
      <c r="O27" s="15">
        <f>O26/13</f>
        <v>6.5341939050331171E-2</v>
      </c>
      <c r="P27" s="14"/>
      <c r="Q27" s="14"/>
      <c r="R27" s="14"/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khaya</dc:creator>
  <cp:lastModifiedBy>Sbusiso Radebe</cp:lastModifiedBy>
  <cp:lastPrinted>2014-03-17T07:41:33Z</cp:lastPrinted>
  <dcterms:created xsi:type="dcterms:W3CDTF">2010-03-31T08:42:52Z</dcterms:created>
  <dcterms:modified xsi:type="dcterms:W3CDTF">2018-05-25T07:08:10Z</dcterms:modified>
</cp:coreProperties>
</file>